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zuhaib_syed_in_ey_com/Documents/Desktop/CSPTCL Tariff filing 2022/Vishwas Mail_14.10.2022/"/>
    </mc:Choice>
  </mc:AlternateContent>
  <xr:revisionPtr revIDLastSave="103" documentId="13_ncr:1_{8635CF83-25C7-4FCC-A434-1E94B8187C31}" xr6:coauthVersionLast="47" xr6:coauthVersionMax="47" xr10:uidLastSave="{00CEB96A-63D6-4089-B3D2-86541D6E0B8E}"/>
  <bookViews>
    <workbookView xWindow="3036" yWindow="360" windowWidth="11424" windowHeight="12000" firstSheet="8" activeTab="9" xr2:uid="{00000000-000D-0000-FFFF-FFFF00000000}"/>
  </bookViews>
  <sheets>
    <sheet name="Index" sheetId="5" r:id="rId1"/>
    <sheet name="F1" sheetId="4" r:id="rId2"/>
    <sheet name="F2" sheetId="2" r:id="rId3"/>
    <sheet name="F3" sheetId="7" r:id="rId4"/>
    <sheet name="F4" sheetId="8" r:id="rId5"/>
    <sheet name="F5" sheetId="9" r:id="rId6"/>
    <sheet name="F6" sheetId="10" r:id="rId7"/>
    <sheet name="F7" sheetId="11" r:id="rId8"/>
    <sheet name="F8" sheetId="12" r:id="rId9"/>
    <sheet name="Revenue Gap+ STOA" sheetId="35" r:id="rId10"/>
    <sheet name="Ref" sheetId="34" r:id="rId11"/>
    <sheet name="FORMATS" sheetId="14" r:id="rId12"/>
    <sheet name="S2" sheetId="16" state="hidden" r:id="rId13"/>
    <sheet name="S3" sheetId="17" state="hidden" r:id="rId14"/>
    <sheet name="F1 (2)" sheetId="18" r:id="rId15"/>
    <sheet name="F2 (2)" sheetId="19" r:id="rId16"/>
    <sheet name="F3 (2)" sheetId="20" r:id="rId17"/>
    <sheet name="F4 (2)" sheetId="21" r:id="rId18"/>
    <sheet name="F5A" sheetId="22" r:id="rId19"/>
    <sheet name="F5B" sheetId="23" r:id="rId20"/>
    <sheet name="F6 (2)" sheetId="24" r:id="rId21"/>
    <sheet name="F7 (2)" sheetId="25" r:id="rId22"/>
    <sheet name="F8(2)" sheetId="26" r:id="rId23"/>
    <sheet name="F9" sheetId="27" r:id="rId24"/>
    <sheet name="F10" sheetId="28" r:id="rId25"/>
    <sheet name="F11" sheetId="29" r:id="rId26"/>
    <sheet name="F12" sheetId="31" r:id="rId27"/>
    <sheet name="F13" sheetId="32" r:id="rId28"/>
    <sheet name="F14" sheetId="33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\A">'[1]R.Hrs. Since Comm'!$AD$88</definedName>
    <definedName name="\B">[2]DLC!$GR$107</definedName>
    <definedName name="\c" localSheetId="24">#REF!</definedName>
    <definedName name="\c" localSheetId="12">#REF!</definedName>
    <definedName name="\c" localSheetId="13">#REF!</definedName>
    <definedName name="\c">#REF!</definedName>
    <definedName name="\f" localSheetId="24">#REF!</definedName>
    <definedName name="\f" localSheetId="12">#REF!</definedName>
    <definedName name="\f" localSheetId="13">#REF!</definedName>
    <definedName name="\f">#REF!</definedName>
    <definedName name="\L">[2]DLC!$HR$111</definedName>
    <definedName name="\p" localSheetId="24">#REF!</definedName>
    <definedName name="\p" localSheetId="12">#REF!</definedName>
    <definedName name="\p" localSheetId="13">#REF!</definedName>
    <definedName name="\p">#REF!</definedName>
    <definedName name="\q" localSheetId="24">#REF!</definedName>
    <definedName name="\q" localSheetId="12">#REF!</definedName>
    <definedName name="\q" localSheetId="13">#REF!</definedName>
    <definedName name="\q">#REF!</definedName>
    <definedName name="\V" localSheetId="24">'[1]R.Hrs. Since Comm'!#REF!</definedName>
    <definedName name="\V" localSheetId="12">'[1]R.Hrs. Since Comm'!#REF!</definedName>
    <definedName name="\V" localSheetId="13">'[1]R.Hrs. Since Comm'!#REF!</definedName>
    <definedName name="\V">'[1]R.Hrs. Since Comm'!#REF!</definedName>
    <definedName name="\w" localSheetId="24">#REF!</definedName>
    <definedName name="\w" localSheetId="12">#REF!</definedName>
    <definedName name="\w" localSheetId="13">#REF!</definedName>
    <definedName name="\w">#REF!</definedName>
    <definedName name="\X" localSheetId="24">#REF!</definedName>
    <definedName name="\X" localSheetId="12">#REF!</definedName>
    <definedName name="\X" localSheetId="13">#REF!</definedName>
    <definedName name="\X">#REF!</definedName>
    <definedName name="\Z" localSheetId="24">'[3]01-02'!#REF!</definedName>
    <definedName name="\Z" localSheetId="12">'[3]01-02'!#REF!</definedName>
    <definedName name="\Z" localSheetId="13">'[3]01-02'!#REF!</definedName>
    <definedName name="\Z">'[3]01-02'!#REF!</definedName>
    <definedName name="__123Graph_A" localSheetId="24" hidden="1">'[3]01-02'!#REF!</definedName>
    <definedName name="__123Graph_A" localSheetId="12" hidden="1">'[3]01-02'!#REF!</definedName>
    <definedName name="__123Graph_A" localSheetId="13" hidden="1">'[3]01-02'!#REF!</definedName>
    <definedName name="__123Graph_A" hidden="1">'[3]01-02'!#REF!</definedName>
    <definedName name="__123Graph_ACHART1" hidden="1">[1]EB!$C$42:$C$70</definedName>
    <definedName name="__123Graph_ACHART10" hidden="1">[1]EB!$C$42:$C$70</definedName>
    <definedName name="__123Graph_AChart11" hidden="1">[1]EB!$C$42:$C$70</definedName>
    <definedName name="__123Graph_ACHART2" hidden="1">[1]EB!$C$42:$C$70</definedName>
    <definedName name="__123Graph_ACHART3" hidden="1">[1]EB!$C$42:$C$70</definedName>
    <definedName name="__123Graph_ACHART4" hidden="1">[1]EB!$C$42:$C$70</definedName>
    <definedName name="__123Graph_ACHART5" hidden="1">[1]EB!$C$42:$C$70</definedName>
    <definedName name="__123Graph_ACHART6" hidden="1">[1]EB!$C$42:$C$70</definedName>
    <definedName name="__123Graph_ACHART7" hidden="1">[1]EB!$C$42:$C$70</definedName>
    <definedName name="__123Graph_ACHART8" hidden="1">[1]EB!$C$42:$C$70</definedName>
    <definedName name="__123Graph_ACHART9" hidden="1">[1]EB!$C$42:$C$70</definedName>
    <definedName name="__123Graph_ACurrent" hidden="1">[1]EB!$C$42:$C$70</definedName>
    <definedName name="__123Graph_B" localSheetId="24" hidden="1">'[3]01-02'!#REF!</definedName>
    <definedName name="__123Graph_B" localSheetId="12" hidden="1">'[3]01-02'!#REF!</definedName>
    <definedName name="__123Graph_B" localSheetId="13" hidden="1">'[3]01-02'!#REF!</definedName>
    <definedName name="__123Graph_B" hidden="1">'[3]01-02'!#REF!</definedName>
    <definedName name="__123Graph_BCHART1" hidden="1">[1]EB!$D$42:$D$70</definedName>
    <definedName name="__123Graph_BCHART10" hidden="1">[1]EB!$D$42:$D$70</definedName>
    <definedName name="__123Graph_BChart11" hidden="1">[1]EB!$D$42:$D$70</definedName>
    <definedName name="__123Graph_BCHART2" hidden="1">[1]EB!$D$42:$D$70</definedName>
    <definedName name="__123Graph_BCHART3" hidden="1">[1]EB!$D$42:$D$70</definedName>
    <definedName name="__123Graph_BCHART4" hidden="1">[1]EB!$D$42:$D$70</definedName>
    <definedName name="__123Graph_BCHART5" hidden="1">[1]EB!$D$42:$D$70</definedName>
    <definedName name="__123Graph_BCHART6" hidden="1">[1]EB!$D$42:$D$70</definedName>
    <definedName name="__123Graph_BCHART7" hidden="1">[1]EB!$D$42:$D$70</definedName>
    <definedName name="__123Graph_BCHART8" hidden="1">[1]EB!$D$42:$D$70</definedName>
    <definedName name="__123Graph_BCHART9" hidden="1">[1]EB!$D$42:$D$70</definedName>
    <definedName name="__123Graph_BCURRENT" localSheetId="24" hidden="1">'[4]BREAKUP OF OIL'!#REF!</definedName>
    <definedName name="__123Graph_BCURRENT" localSheetId="12" hidden="1">'[4]BREAKUP OF OIL'!#REF!</definedName>
    <definedName name="__123Graph_BCURRENT" localSheetId="13" hidden="1">'[4]BREAKUP OF OIL'!#REF!</definedName>
    <definedName name="__123Graph_BCURRENT" hidden="1">'[4]BREAKUP OF OIL'!#REF!</definedName>
    <definedName name="__123Graph_C" localSheetId="24" hidden="1">'[3]01-02'!#REF!</definedName>
    <definedName name="__123Graph_C" localSheetId="12" hidden="1">'[3]01-02'!#REF!</definedName>
    <definedName name="__123Graph_C" localSheetId="13" hidden="1">'[3]01-02'!#REF!</definedName>
    <definedName name="__123Graph_C" hidden="1">'[3]01-02'!#REF!</definedName>
    <definedName name="__123Graph_CCHART1" hidden="1">[1]EB!$E$42:$E$70</definedName>
    <definedName name="__123Graph_CCHART10" hidden="1">[1]EB!$E$42:$E$70</definedName>
    <definedName name="__123Graph_CChart11" hidden="1">[1]EB!$E$42:$E$70</definedName>
    <definedName name="__123Graph_CCHART2" hidden="1">[1]EB!$E$42:$E$70</definedName>
    <definedName name="__123Graph_CCHART3" hidden="1">[1]EB!$E$42:$E$70</definedName>
    <definedName name="__123Graph_CCHART4" hidden="1">[1]EB!$E$42:$E$70</definedName>
    <definedName name="__123Graph_CCHART5" hidden="1">[1]EB!$E$42:$E$70</definedName>
    <definedName name="__123Graph_CCHART6" hidden="1">[1]EB!$E$42:$E$70</definedName>
    <definedName name="__123Graph_CCHART7" hidden="1">[1]EB!$E$42:$E$70</definedName>
    <definedName name="__123Graph_CCHART8" hidden="1">[1]EB!$E$42:$E$70</definedName>
    <definedName name="__123Graph_CCHART9" hidden="1">[1]EB!$E$42:$E$70</definedName>
    <definedName name="__123Graph_CCurrent" hidden="1">[1]EB!$E$42:$E$70</definedName>
    <definedName name="__123Graph_D" localSheetId="24" hidden="1">'[3]01-02'!#REF!</definedName>
    <definedName name="__123Graph_D" localSheetId="12" hidden="1">'[3]01-02'!#REF!</definedName>
    <definedName name="__123Graph_D" localSheetId="13" hidden="1">'[3]01-02'!#REF!</definedName>
    <definedName name="__123Graph_D" hidden="1">'[3]01-02'!#REF!</definedName>
    <definedName name="__123Graph_DCHART1" hidden="1">[1]EB!$F$42:$F$70</definedName>
    <definedName name="__123Graph_DCHART10" hidden="1">[1]EB!$F$42:$F$70</definedName>
    <definedName name="__123Graph_DChart11" hidden="1">[1]EB!$F$42:$F$70</definedName>
    <definedName name="__123Graph_DCHART2" hidden="1">[1]EB!$F$42:$F$70</definedName>
    <definedName name="__123Graph_DCHART3" hidden="1">[1]EB!$F$42:$F$70</definedName>
    <definedName name="__123Graph_DCHART4" hidden="1">[1]EB!$F$42:$F$70</definedName>
    <definedName name="__123Graph_DCHART5" hidden="1">[1]EB!$F$42:$F$70</definedName>
    <definedName name="__123Graph_DCHART6" hidden="1">[1]EB!$F$42:$F$70</definedName>
    <definedName name="__123Graph_DCHART7" hidden="1">[1]EB!$F$42:$F$70</definedName>
    <definedName name="__123Graph_DCHART8" hidden="1">[1]EB!$F$42:$F$70</definedName>
    <definedName name="__123Graph_DCHART9" hidden="1">[1]EB!$F$42:$F$70</definedName>
    <definedName name="__123Graph_DCURRENT" localSheetId="24" hidden="1">'[4]BREAKUP OF OIL'!#REF!</definedName>
    <definedName name="__123Graph_DCURRENT" localSheetId="12" hidden="1">'[4]BREAKUP OF OIL'!#REF!</definedName>
    <definedName name="__123Graph_DCURRENT" localSheetId="13" hidden="1">'[4]BREAKUP OF OIL'!#REF!</definedName>
    <definedName name="__123Graph_DCURRENT" hidden="1">'[4]BREAKUP OF OIL'!#REF!</definedName>
    <definedName name="__123Graph_E" localSheetId="24" hidden="1">'[3]01-02'!#REF!</definedName>
    <definedName name="__123Graph_E" localSheetId="12" hidden="1">'[3]01-02'!#REF!</definedName>
    <definedName name="__123Graph_E" localSheetId="13" hidden="1">'[3]01-02'!#REF!</definedName>
    <definedName name="__123Graph_E" hidden="1">'[3]01-02'!#REF!</definedName>
    <definedName name="__123Graph_ECHART1" hidden="1">[1]EB!$G$42:$G$70</definedName>
    <definedName name="__123Graph_ECHART10" hidden="1">[1]EB!$G$42:$G$70</definedName>
    <definedName name="__123Graph_EChart11" hidden="1">[1]EB!$G$42:$G$70</definedName>
    <definedName name="__123Graph_ECHART2" hidden="1">[1]EB!$G$42:$G$70</definedName>
    <definedName name="__123Graph_ECHART3" hidden="1">[1]EB!$G$42:$G$70</definedName>
    <definedName name="__123Graph_ECHART4" hidden="1">[1]EB!$G$42:$G$70</definedName>
    <definedName name="__123Graph_ECHART5" hidden="1">[1]EB!$G$42:$G$70</definedName>
    <definedName name="__123Graph_ECHART6" hidden="1">[1]EB!$G$42:$G$70</definedName>
    <definedName name="__123Graph_ECHART7" hidden="1">[1]EB!$G$42:$G$70</definedName>
    <definedName name="__123Graph_ECHART8" hidden="1">[1]EB!$G$42:$G$70</definedName>
    <definedName name="__123Graph_ECHART9" hidden="1">[1]EB!$G$42:$G$70</definedName>
    <definedName name="__123Graph_ECurrent" hidden="1">[1]EB!$G$42:$G$70</definedName>
    <definedName name="__123Graph_F" localSheetId="24" hidden="1">'[3]01-02'!#REF!</definedName>
    <definedName name="__123Graph_F" localSheetId="12" hidden="1">'[3]01-02'!#REF!</definedName>
    <definedName name="__123Graph_F" localSheetId="13" hidden="1">'[3]01-02'!#REF!</definedName>
    <definedName name="__123Graph_F" hidden="1">'[3]01-02'!#REF!</definedName>
    <definedName name="__123Graph_FCHART1" hidden="1">[1]EB!$H$42:$H$70</definedName>
    <definedName name="__123Graph_FCHART10" hidden="1">[1]EB!$H$42:$H$70</definedName>
    <definedName name="__123Graph_FChart11" hidden="1">[1]EB!$H$42:$H$70</definedName>
    <definedName name="__123Graph_FCHART2" hidden="1">[1]EB!$H$42:$H$70</definedName>
    <definedName name="__123Graph_FCHART3" hidden="1">[1]EB!$H$42:$H$70</definedName>
    <definedName name="__123Graph_FCHART4" hidden="1">[1]EB!$H$42:$H$70</definedName>
    <definedName name="__123Graph_FCHART5" hidden="1">[1]EB!$H$42:$H$70</definedName>
    <definedName name="__123Graph_FCHART6" hidden="1">[1]EB!$H$42:$H$70</definedName>
    <definedName name="__123Graph_FCHART7" hidden="1">[1]EB!$H$42:$H$70</definedName>
    <definedName name="__123Graph_FCHART8" hidden="1">[1]EB!$H$42:$H$70</definedName>
    <definedName name="__123Graph_FCHART9" hidden="1">[1]EB!$H$42:$H$70</definedName>
    <definedName name="__123Graph_FCurrent" hidden="1">[1]EB!$H$42:$H$70</definedName>
    <definedName name="__123Graph_X" localSheetId="24" hidden="1">'[3]01-02'!#REF!</definedName>
    <definedName name="__123Graph_X" localSheetId="12" hidden="1">'[3]01-02'!#REF!</definedName>
    <definedName name="__123Graph_X" localSheetId="13" hidden="1">'[3]01-02'!#REF!</definedName>
    <definedName name="__123Graph_X" hidden="1">'[3]01-02'!#REF!</definedName>
    <definedName name="__123Graph_XCHART1" hidden="1">[1]EB!$B$42:$B$70</definedName>
    <definedName name="__123Graph_XCHART10" hidden="1">[1]EB!$B$42:$B$70</definedName>
    <definedName name="__123Graph_XChart11" hidden="1">[1]EB!$B$42:$B$70</definedName>
    <definedName name="__123Graph_XCHART2" hidden="1">[1]EB!$B$42:$B$70</definedName>
    <definedName name="__123Graph_XCHART3" hidden="1">[1]EB!$B$42:$B$70</definedName>
    <definedName name="__123Graph_XCHART4" hidden="1">[1]EB!$B$42:$B$70</definedName>
    <definedName name="__123Graph_XCHART5" hidden="1">[1]EB!$B$42:$B$70</definedName>
    <definedName name="__123Graph_XCHART6" hidden="1">[1]EB!$B$42:$B$70</definedName>
    <definedName name="__123Graph_XCHART7" hidden="1">[1]EB!$B$42:$B$70</definedName>
    <definedName name="__123Graph_XCHART8" hidden="1">[1]EB!$B$42:$B$70</definedName>
    <definedName name="__123Graph_XCHART9" hidden="1">[1]EB!$B$42:$B$70</definedName>
    <definedName name="__123Graph_XCURRENT" localSheetId="24" hidden="1">'[4]BREAKUP OF OIL'!#REF!</definedName>
    <definedName name="__123Graph_XCURRENT" localSheetId="12" hidden="1">'[4]BREAKUP OF OIL'!#REF!</definedName>
    <definedName name="__123Graph_XCURRENT" localSheetId="13" hidden="1">'[4]BREAKUP OF OIL'!#REF!</definedName>
    <definedName name="__123Graph_XCURRENT" hidden="1">'[4]BREAKUP OF OIL'!#REF!</definedName>
    <definedName name="__SCH6" localSheetId="24">'[5]04REL'!#REF!</definedName>
    <definedName name="__SCH6" localSheetId="12">'[5]04REL'!#REF!</definedName>
    <definedName name="__SCH6" localSheetId="13">'[5]04REL'!#REF!</definedName>
    <definedName name="__SCH6">'[5]04REL'!#REF!</definedName>
    <definedName name="_APR1" localSheetId="24">'[6]LDC LU'!#REF!</definedName>
    <definedName name="_APR1" localSheetId="12">'[6]LDC LU'!#REF!</definedName>
    <definedName name="_APR1" localSheetId="13">'[6]LDC LU'!#REF!</definedName>
    <definedName name="_APR1">'[6]LDC LU'!#REF!</definedName>
    <definedName name="_APR2" localSheetId="24">'[6]LDC LU'!#REF!</definedName>
    <definedName name="_APR2" localSheetId="12">'[6]LDC LU'!#REF!</definedName>
    <definedName name="_APR2" localSheetId="13">'[6]LDC LU'!#REF!</definedName>
    <definedName name="_APR2">'[6]LDC LU'!#REF!</definedName>
    <definedName name="_AUG1" localSheetId="24">'[6]LDC LU'!#REF!</definedName>
    <definedName name="_AUG1" localSheetId="12">'[6]LDC LU'!#REF!</definedName>
    <definedName name="_AUG1" localSheetId="13">'[6]LDC LU'!#REF!</definedName>
    <definedName name="_AUG1">'[6]LDC LU'!#REF!</definedName>
    <definedName name="_AUG2" localSheetId="24">'[6]LDC LU'!#REF!</definedName>
    <definedName name="_AUG2" localSheetId="12">'[6]LDC LU'!#REF!</definedName>
    <definedName name="_AUG2" localSheetId="13">'[6]LDC LU'!#REF!</definedName>
    <definedName name="_AUG2">'[6]LDC LU'!#REF!</definedName>
    <definedName name="_BSD1" localSheetId="24">#REF!</definedName>
    <definedName name="_BSD1" localSheetId="12">#REF!</definedName>
    <definedName name="_BSD1" localSheetId="13">#REF!</definedName>
    <definedName name="_BSD1">#REF!</definedName>
    <definedName name="_BSD2" localSheetId="24">#REF!</definedName>
    <definedName name="_BSD2" localSheetId="12">#REF!</definedName>
    <definedName name="_BSD2" localSheetId="13">#REF!</definedName>
    <definedName name="_BSD2">#REF!</definedName>
    <definedName name="_DEC1" localSheetId="24">'[6]LDC LU'!#REF!</definedName>
    <definedName name="_DEC1" localSheetId="12">'[6]LDC LU'!#REF!</definedName>
    <definedName name="_DEC1" localSheetId="13">'[6]LDC LU'!#REF!</definedName>
    <definedName name="_DEC1">'[6]LDC LU'!#REF!</definedName>
    <definedName name="_DEC2" localSheetId="24">'[6]LDC LU'!#REF!</definedName>
    <definedName name="_DEC2" localSheetId="12">'[6]LDC LU'!#REF!</definedName>
    <definedName name="_DEC2" localSheetId="13">'[6]LDC LU'!#REF!</definedName>
    <definedName name="_DEC2">'[6]LDC LU'!#REF!</definedName>
    <definedName name="_FEB1" localSheetId="24">'[6]LDC LU'!#REF!</definedName>
    <definedName name="_FEB1" localSheetId="12">'[6]LDC LU'!#REF!</definedName>
    <definedName name="_FEB1" localSheetId="13">'[6]LDC LU'!#REF!</definedName>
    <definedName name="_FEB1">'[6]LDC LU'!#REF!</definedName>
    <definedName name="_FEB2" localSheetId="24">'[6]LDC LU'!#REF!</definedName>
    <definedName name="_FEB2" localSheetId="12">'[6]LDC LU'!#REF!</definedName>
    <definedName name="_FEB2" localSheetId="13">'[6]LDC LU'!#REF!</definedName>
    <definedName name="_FEB2">'[6]LDC LU'!#REF!</definedName>
    <definedName name="_Fill" hidden="1">'[1]220KV'!$A$6:$A$75</definedName>
    <definedName name="_IED1" localSheetId="24">#REF!</definedName>
    <definedName name="_IED1" localSheetId="12">#REF!</definedName>
    <definedName name="_IED1" localSheetId="13">#REF!</definedName>
    <definedName name="_IED1">#REF!</definedName>
    <definedName name="_IED2" localSheetId="24">#REF!</definedName>
    <definedName name="_IED2" localSheetId="12">#REF!</definedName>
    <definedName name="_IED2" localSheetId="13">#REF!</definedName>
    <definedName name="_IED2">#REF!</definedName>
    <definedName name="_JAN1" localSheetId="24">'[6]TGL LU'!#REF!</definedName>
    <definedName name="_JAN1" localSheetId="12">'[6]TGL LU'!#REF!</definedName>
    <definedName name="_JAN1" localSheetId="13">'[6]TGL LU'!#REF!</definedName>
    <definedName name="_JAN1">'[6]TGL LU'!#REF!</definedName>
    <definedName name="_JAN2" localSheetId="24">'[6]LDC LU'!#REF!</definedName>
    <definedName name="_JAN2" localSheetId="12">'[6]LDC LU'!#REF!</definedName>
    <definedName name="_JAN2" localSheetId="13">'[6]LDC LU'!#REF!</definedName>
    <definedName name="_JAN2">'[6]LDC LU'!#REF!</definedName>
    <definedName name="_JUL1" localSheetId="24">'[6]LDC LU'!#REF!</definedName>
    <definedName name="_JUL1" localSheetId="12">'[6]LDC LU'!#REF!</definedName>
    <definedName name="_JUL1" localSheetId="13">'[6]LDC LU'!#REF!</definedName>
    <definedName name="_JUL1">'[6]LDC LU'!#REF!</definedName>
    <definedName name="_JUL2" localSheetId="24">'[6]LDC LU'!#REF!</definedName>
    <definedName name="_JUL2" localSheetId="12">'[6]LDC LU'!#REF!</definedName>
    <definedName name="_JUL2" localSheetId="13">'[6]LDC LU'!#REF!</definedName>
    <definedName name="_JUL2">'[6]LDC LU'!#REF!</definedName>
    <definedName name="_JUN1" localSheetId="24">'[6]LDC LU'!#REF!</definedName>
    <definedName name="_JUN1" localSheetId="12">'[6]LDC LU'!#REF!</definedName>
    <definedName name="_JUN1" localSheetId="13">'[6]LDC LU'!#REF!</definedName>
    <definedName name="_JUN1">'[6]LDC LU'!#REF!</definedName>
    <definedName name="_JUN2" localSheetId="24">'[6]LDC LU'!#REF!</definedName>
    <definedName name="_JUN2" localSheetId="12">'[6]LDC LU'!#REF!</definedName>
    <definedName name="_JUN2" localSheetId="13">'[6]LDC LU'!#REF!</definedName>
    <definedName name="_JUN2">'[6]LDC LU'!#REF!</definedName>
    <definedName name="_LD1">[2]DLC!$K$59:$AF$8180</definedName>
    <definedName name="_LD2">[2]DLC!$GR$56:$HT$8181</definedName>
    <definedName name="_LD3">[2]DLC!$HV$57:$IO$8181</definedName>
    <definedName name="_LD4">[2]DLC!$AH$32:$BE$8180</definedName>
    <definedName name="_LD5">[2]DLC!$GR$53:$HK$8180</definedName>
    <definedName name="_LD6">[2]DLC!$GR$69:$HL$8180</definedName>
    <definedName name="_LR1" localSheetId="24">#REF!</definedName>
    <definedName name="_LR1" localSheetId="12">#REF!</definedName>
    <definedName name="_LR1" localSheetId="13">#REF!</definedName>
    <definedName name="_LR1">#REF!</definedName>
    <definedName name="_LR2" localSheetId="24">#REF!</definedName>
    <definedName name="_LR2" localSheetId="12">#REF!</definedName>
    <definedName name="_LR2" localSheetId="13">#REF!</definedName>
    <definedName name="_LR2">#REF!</definedName>
    <definedName name="_MAR1" localSheetId="24">'[6]TGL LU'!#REF!</definedName>
    <definedName name="_MAR1" localSheetId="12">'[6]TGL LU'!#REF!</definedName>
    <definedName name="_MAR1" localSheetId="13">'[6]TGL LU'!#REF!</definedName>
    <definedName name="_MAR1">'[6]TGL LU'!#REF!</definedName>
    <definedName name="_MAR2" localSheetId="24">'[6]LDC LU'!#REF!</definedName>
    <definedName name="_MAR2" localSheetId="12">'[6]LDC LU'!#REF!</definedName>
    <definedName name="_MAR2" localSheetId="13">'[6]LDC LU'!#REF!</definedName>
    <definedName name="_MAR2">'[6]LDC LU'!#REF!</definedName>
    <definedName name="_MAY2" localSheetId="24">'[6]LDC LU'!#REF!</definedName>
    <definedName name="_MAY2" localSheetId="12">'[6]LDC LU'!#REF!</definedName>
    <definedName name="_MAY2" localSheetId="13">'[6]LDC LU'!#REF!</definedName>
    <definedName name="_MAY2">'[6]LDC LU'!#REF!</definedName>
    <definedName name="_NOV1" localSheetId="24">'[6]LDC LU'!#REF!</definedName>
    <definedName name="_NOV1" localSheetId="12">'[6]LDC LU'!#REF!</definedName>
    <definedName name="_NOV1" localSheetId="13">'[6]LDC LU'!#REF!</definedName>
    <definedName name="_NOV1">'[6]LDC LU'!#REF!</definedName>
    <definedName name="_NOV2" localSheetId="24">'[6]LDC LU'!#REF!</definedName>
    <definedName name="_NOV2" localSheetId="12">'[6]LDC LU'!#REF!</definedName>
    <definedName name="_NOV2" localSheetId="13">'[6]LDC LU'!#REF!</definedName>
    <definedName name="_NOV2">'[6]LDC LU'!#REF!</definedName>
    <definedName name="_OCT1" localSheetId="24">'[6]LDC LU'!#REF!</definedName>
    <definedName name="_OCT1" localSheetId="12">'[6]LDC LU'!#REF!</definedName>
    <definedName name="_OCT1" localSheetId="13">'[6]LDC LU'!#REF!</definedName>
    <definedName name="_OCT1">'[6]LDC LU'!#REF!</definedName>
    <definedName name="_OCT2" localSheetId="24">'[6]LDC LU'!#REF!</definedName>
    <definedName name="_OCT2" localSheetId="12">'[6]LDC LU'!#REF!</definedName>
    <definedName name="_OCT2" localSheetId="13">'[6]LDC LU'!#REF!</definedName>
    <definedName name="_OCT2">'[6]LDC LU'!#REF!</definedName>
    <definedName name="_Order1" hidden="1">255</definedName>
    <definedName name="_Order2" hidden="1">0</definedName>
    <definedName name="_p1" hidden="1">{#N/A,#N/A,FALSE,"Form 1.1";#N/A,#N/A,FALSE,"Sch-VI";#N/A,#N/A,FALSE,"Form 1.1a";#N/A,#N/A,FALSE,"1.1b";#N/A,#N/A,FALSE,"1.1 c";#N/A,#N/A,FALSE,"1.1d";#N/A,#N/A,FALSE,"1.1e";#N/A,#N/A,FALSE,"1.1f";#N/A,#N/A,FALSE,"Capitalisation";#N/A,#N/A,FALSE,"Invt.Plan";#N/A,#N/A,FALSE,"1.1g";#N/A,#N/A,FALSE,"Other Lease";#N/A,#N/A,FALSE,"1.1h";#N/A,#N/A,FALSE,"1.1i";#N/A,#N/A,FALSE,"1.2";#N/A,#N/A,FALSE,"1.3";#N/A,#N/A,FALSE,"1.3b";#N/A,#N/A,FALSE,"1.3c";#N/A,#N/A,FALSE,"1.3d";#N/A,#N/A,FALSE,"1.3e";#N/A,#N/A,FALSE,"1.4";#N/A,#N/A,FALSE,"1.5";#N/A,#N/A,FALSE,"1.6";#N/A,#N/A,FALSE,"2.1 (transco)";#N/A,#N/A,FALSE,"2.1(Discoms)";#N/A,#N/A,FALSE,"4.1 (Transco)";#N/A,#N/A,FALSE,"4.1 (Discoms)";#N/A,#N/A,FALSE,"4.2 (Transco)";#N/A,#N/A,FALSE,"4.2 (Discoms)";#N/A,#N/A,FALSE,"Load Shedding";#N/A,#N/A,FALSE,"Overloading";#N/A,#N/A,FALSE,"Recvbls-Ageing";#N/A,#N/A,FALSE,"Pending . Conn"}</definedName>
    <definedName name="_p13" hidden="1">{#N/A,#N/A,FALSE,"Form 1.1";#N/A,#N/A,FALSE,"Sch-VI";#N/A,#N/A,FALSE,"Form 1.1a";#N/A,#N/A,FALSE,"1.1b";#N/A,#N/A,FALSE,"1.1 c";#N/A,#N/A,FALSE,"1.1d";#N/A,#N/A,FALSE,"1.1e";#N/A,#N/A,FALSE,"1.1f";#N/A,#N/A,FALSE,"Capitalisation";#N/A,#N/A,FALSE,"Invt.Plan";#N/A,#N/A,FALSE,"1.1g";#N/A,#N/A,FALSE,"Other Lease";#N/A,#N/A,FALSE,"1.1h";#N/A,#N/A,FALSE,"1.1i";#N/A,#N/A,FALSE,"1.2";#N/A,#N/A,FALSE,"1.3";#N/A,#N/A,FALSE,"1.3b";#N/A,#N/A,FALSE,"1.3c";#N/A,#N/A,FALSE,"1.3d";#N/A,#N/A,FALSE,"1.3e";#N/A,#N/A,FALSE,"1.4";#N/A,#N/A,FALSE,"1.5";#N/A,#N/A,FALSE,"1.6";#N/A,#N/A,FALSE,"2.1 (transco)";#N/A,#N/A,FALSE,"2.1(Discoms)";#N/A,#N/A,FALSE,"4.1 (Transco)";#N/A,#N/A,FALSE,"4.1 (Discoms)";#N/A,#N/A,FALSE,"4.2 (Transco)";#N/A,#N/A,FALSE,"4.2 (Discoms)";#N/A,#N/A,FALSE,"Load Shedding";#N/A,#N/A,FALSE,"Overloading";#N/A,#N/A,FALSE,"Recvbls-Ageing";#N/A,#N/A,FALSE,"Pending . Conn"}</definedName>
    <definedName name="_PH1">#N/A</definedName>
    <definedName name="_SCH6" localSheetId="24">'[5]04REL'!#REF!</definedName>
    <definedName name="_SCH6" localSheetId="12">'[5]04REL'!#REF!</definedName>
    <definedName name="_SCH6" localSheetId="13">'[5]04REL'!#REF!</definedName>
    <definedName name="_SCH6">'[5]04REL'!#REF!</definedName>
    <definedName name="_SEP1" localSheetId="24">'[6]LDC LU'!#REF!</definedName>
    <definedName name="_SEP1" localSheetId="12">'[6]LDC LU'!#REF!</definedName>
    <definedName name="_SEP1" localSheetId="13">'[6]LDC LU'!#REF!</definedName>
    <definedName name="_SEP1">'[6]LDC LU'!#REF!</definedName>
    <definedName name="_SEP2" localSheetId="24">'[6]LDC LU'!#REF!</definedName>
    <definedName name="_SEP2" localSheetId="12">'[6]LDC LU'!#REF!</definedName>
    <definedName name="_SEP2" localSheetId="13">'[6]LDC LU'!#REF!</definedName>
    <definedName name="_SEP2">'[6]LDC LU'!#REF!</definedName>
    <definedName name="_SUP1">[7]PP!$E$8</definedName>
    <definedName name="_TP4" localSheetId="24">#REF!,#REF!</definedName>
    <definedName name="_TP4" localSheetId="12">#REF!,#REF!</definedName>
    <definedName name="_TP4" localSheetId="13">#REF!,#REF!</definedName>
    <definedName name="_TP4">#REF!,#REF!</definedName>
    <definedName name="A" localSheetId="24">#REF!</definedName>
    <definedName name="A" localSheetId="12">#REF!</definedName>
    <definedName name="A" localSheetId="13">#REF!</definedName>
    <definedName name="A">#REF!</definedName>
    <definedName name="ADL.63">[8]Addl.40!$A$38:$I$284</definedName>
    <definedName name="agri" localSheetId="24">#REF!</definedName>
    <definedName name="agri" localSheetId="12">#REF!</definedName>
    <definedName name="agri" localSheetId="13">#REF!</definedName>
    <definedName name="agri">#REF!</definedName>
    <definedName name="asd" localSheetId="24">#REF!</definedName>
    <definedName name="asd" localSheetId="12">#REF!</definedName>
    <definedName name="asd" localSheetId="13">#REF!</definedName>
    <definedName name="asd">#REF!</definedName>
    <definedName name="asst_cost" localSheetId="24">#REF!</definedName>
    <definedName name="asst_cost" localSheetId="12">#REF!</definedName>
    <definedName name="asst_cost" localSheetId="13">#REF!</definedName>
    <definedName name="asst_cost">#REF!</definedName>
    <definedName name="B" localSheetId="24">[9]jindal!#REF!</definedName>
    <definedName name="B" localSheetId="12">[9]jindal!#REF!</definedName>
    <definedName name="B" localSheetId="13">[9]jindal!#REF!</definedName>
    <definedName name="B">[9]jindal!#REF!</definedName>
    <definedName name="BUS" localSheetId="24">#REF!</definedName>
    <definedName name="BUS" localSheetId="12">#REF!</definedName>
    <definedName name="BUS" localSheetId="13">#REF!</definedName>
    <definedName name="BUS">#REF!</definedName>
    <definedName name="CDGD" localSheetId="24">'[10]C.S.GENERATION'!#REF!</definedName>
    <definedName name="CDGD" localSheetId="12">'[10]C.S.GENERATION'!#REF!</definedName>
    <definedName name="CDGD" localSheetId="13">'[10]C.S.GENERATION'!#REF!</definedName>
    <definedName name="CDGD">'[10]C.S.GENERATION'!#REF!</definedName>
    <definedName name="CIQWBGuid" hidden="1">"62c5e63d-5624-49d8-b5b0-ae42cb049866"</definedName>
    <definedName name="Circularity_Flag">[11]Assumptions!$C$3</definedName>
    <definedName name="CR">[2]DLC!$GS$40:$HM$87</definedName>
    <definedName name="_xlnm.Criteria">[2]DLC!$GS$304:$HF$305</definedName>
    <definedName name="CSMPD" localSheetId="24">'[10]C.S.GENERATION'!#REF!</definedName>
    <definedName name="CSMPD" localSheetId="12">'[10]C.S.GENERATION'!#REF!</definedName>
    <definedName name="CSMPD" localSheetId="13">'[10]C.S.GENERATION'!#REF!</definedName>
    <definedName name="CSMPD">'[10]C.S.GENERATION'!#REF!</definedName>
    <definedName name="D">#N/A</definedName>
    <definedName name="D_T">[12]data!$F$721</definedName>
    <definedName name="_xlnm.Database" localSheetId="24">#REF!</definedName>
    <definedName name="_xlnm.Database" localSheetId="12">#REF!</definedName>
    <definedName name="_xlnm.Database" localSheetId="13">#REF!</definedName>
    <definedName name="_xlnm.Database">#REF!</definedName>
    <definedName name="dbn_assts">[13]Sheet1!$A$1508:$Q$1541</definedName>
    <definedName name="demd_supply" localSheetId="24">#REF!</definedName>
    <definedName name="demd_supply" localSheetId="12">#REF!</definedName>
    <definedName name="demd_supply" localSheetId="13">#REF!</definedName>
    <definedName name="demd_supply">#REF!</definedName>
    <definedName name="Discom1F1" localSheetId="24">#REF!</definedName>
    <definedName name="Discom1F1" localSheetId="12">#REF!</definedName>
    <definedName name="Discom1F1" localSheetId="13">#REF!</definedName>
    <definedName name="Discom1F1">#REF!</definedName>
    <definedName name="Discom1F2" localSheetId="24">#REF!</definedName>
    <definedName name="Discom1F2" localSheetId="12">#REF!</definedName>
    <definedName name="Discom1F2" localSheetId="13">#REF!</definedName>
    <definedName name="Discom1F2">#REF!</definedName>
    <definedName name="Discom1F3" localSheetId="24">#REF!</definedName>
    <definedName name="Discom1F3" localSheetId="12">#REF!</definedName>
    <definedName name="Discom1F3" localSheetId="13">#REF!</definedName>
    <definedName name="Discom1F3">#REF!</definedName>
    <definedName name="Discom1F4" localSheetId="24">#REF!</definedName>
    <definedName name="Discom1F4" localSheetId="12">#REF!</definedName>
    <definedName name="Discom1F4" localSheetId="13">#REF!</definedName>
    <definedName name="Discom1F4">#REF!</definedName>
    <definedName name="Discom1F6" localSheetId="24">#REF!</definedName>
    <definedName name="Discom1F6" localSheetId="12">#REF!</definedName>
    <definedName name="Discom1F6" localSheetId="13">#REF!</definedName>
    <definedName name="Discom1F6">#REF!</definedName>
    <definedName name="Discom2F1" localSheetId="24">#REF!</definedName>
    <definedName name="Discom2F1" localSheetId="12">#REF!</definedName>
    <definedName name="Discom2F1" localSheetId="13">#REF!</definedName>
    <definedName name="Discom2F1">#REF!</definedName>
    <definedName name="Discom2F2" localSheetId="24">#REF!</definedName>
    <definedName name="Discom2F2" localSheetId="12">#REF!</definedName>
    <definedName name="Discom2F2" localSheetId="13">#REF!</definedName>
    <definedName name="Discom2F2">#REF!</definedName>
    <definedName name="Discom2F3" localSheetId="24">#REF!</definedName>
    <definedName name="Discom2F3" localSheetId="12">#REF!</definedName>
    <definedName name="Discom2F3" localSheetId="13">#REF!</definedName>
    <definedName name="Discom2F3">#REF!</definedName>
    <definedName name="Discom2F4" localSheetId="24">#REF!</definedName>
    <definedName name="Discom2F4" localSheetId="12">#REF!</definedName>
    <definedName name="Discom2F4" localSheetId="13">#REF!</definedName>
    <definedName name="Discom2F4">#REF!</definedName>
    <definedName name="Discom2F6" localSheetId="24">#REF!</definedName>
    <definedName name="Discom2F6" localSheetId="12">#REF!</definedName>
    <definedName name="Discom2F6" localSheetId="13">#REF!</definedName>
    <definedName name="Discom2F6">#REF!</definedName>
    <definedName name="dom" localSheetId="24">#REF!</definedName>
    <definedName name="dom" localSheetId="12">#REF!</definedName>
    <definedName name="dom" localSheetId="13">#REF!</definedName>
    <definedName name="dom">#REF!</definedName>
    <definedName name="dpc">'[14]dpc cost'!$D$1</definedName>
    <definedName name="E_315MVA_Addl_Page1" localSheetId="24">#REF!</definedName>
    <definedName name="E_315MVA_Addl_Page1" localSheetId="12">#REF!</definedName>
    <definedName name="E_315MVA_Addl_Page1" localSheetId="13">#REF!</definedName>
    <definedName name="E_315MVA_Addl_Page1">#REF!</definedName>
    <definedName name="E_315MVA_Addl_Page2" localSheetId="24">#REF!</definedName>
    <definedName name="E_315MVA_Addl_Page2" localSheetId="12">#REF!</definedName>
    <definedName name="E_315MVA_Addl_Page2" localSheetId="13">#REF!</definedName>
    <definedName name="E_315MVA_Addl_Page2">#REF!</definedName>
    <definedName name="_xlnm.Extract">[2]DLC!$GS$307:$HF$322</definedName>
    <definedName name="f">[15]ST1!$IV$8174</definedName>
    <definedName name="Fuel_Exp_CY" localSheetId="24">#REF!</definedName>
    <definedName name="Fuel_Exp_CY" localSheetId="12">#REF!</definedName>
    <definedName name="Fuel_Exp_CY" localSheetId="13">#REF!</definedName>
    <definedName name="Fuel_Exp_CY">#REF!</definedName>
    <definedName name="Fuel_Exp_EY" localSheetId="24">#REF!</definedName>
    <definedName name="Fuel_Exp_EY" localSheetId="12">#REF!</definedName>
    <definedName name="Fuel_Exp_EY" localSheetId="13">#REF!</definedName>
    <definedName name="Fuel_Exp_EY">#REF!</definedName>
    <definedName name="Fuel_Exp_PY" localSheetId="24">#REF!</definedName>
    <definedName name="Fuel_Exp_PY" localSheetId="12">#REF!</definedName>
    <definedName name="Fuel_Exp_PY" localSheetId="13">#REF!</definedName>
    <definedName name="Fuel_Exp_PY">#REF!</definedName>
    <definedName name="g">[16]HQ00!$IU$8175</definedName>
    <definedName name="h">[15]ST1!$IV$8176</definedName>
    <definedName name="home" localSheetId="24">#REF!</definedName>
    <definedName name="home" localSheetId="12">#REF!</definedName>
    <definedName name="home" localSheetId="13">#REF!</definedName>
    <definedName name="home">#REF!</definedName>
    <definedName name="IN">[2]DLC!$GS$2:$HF$22</definedName>
    <definedName name="Intt_Charge_cY" localSheetId="24">#REF!,#REF!</definedName>
    <definedName name="Intt_Charge_cY" localSheetId="12">#REF!,#REF!</definedName>
    <definedName name="Intt_Charge_cY" localSheetId="13">#REF!,#REF!</definedName>
    <definedName name="Intt_Charge_cY">#REF!,#REF!</definedName>
    <definedName name="Intt_Charge_cy_1">'[17]A 3.7'!$H$35,'[17]A 3.7'!$H$44</definedName>
    <definedName name="Intt_Charge_eY" localSheetId="24">#REF!,#REF!</definedName>
    <definedName name="Intt_Charge_eY" localSheetId="12">#REF!,#REF!</definedName>
    <definedName name="Intt_Charge_eY" localSheetId="13">#REF!,#REF!</definedName>
    <definedName name="Intt_Charge_eY">#REF!,#REF!</definedName>
    <definedName name="Intt_Charge_ey_1">'[17]A 3.7'!$I$35,'[17]A 3.7'!$I$44</definedName>
    <definedName name="Intt_Charge_PY" localSheetId="24">#REF!,#REF!</definedName>
    <definedName name="Intt_Charge_PY" localSheetId="12">#REF!,#REF!</definedName>
    <definedName name="Intt_Charge_PY" localSheetId="13">#REF!,#REF!</definedName>
    <definedName name="Intt_Charge_PY">#REF!,#REF!</definedName>
    <definedName name="Intt_Charge_py_1">'[17]A 3.7'!$G$35,'[17]A 3.7'!$G$44</definedName>
    <definedName name="j">[15]ST1!$A$1:$R$51</definedName>
    <definedName name="JV10Group_944" localSheetId="24">#REF!</definedName>
    <definedName name="JV10Group_944" localSheetId="12">#REF!</definedName>
    <definedName name="JV10Group_944" localSheetId="13">#REF!</definedName>
    <definedName name="JV10Group_944">#REF!</definedName>
    <definedName name="JV14Group_944" localSheetId="24">#REF!</definedName>
    <definedName name="JV14Group_944" localSheetId="12">#REF!</definedName>
    <definedName name="JV14Group_944" localSheetId="13">#REF!</definedName>
    <definedName name="JV14Group_944">#REF!</definedName>
    <definedName name="k">[16]HQ00!$IU$8178</definedName>
    <definedName name="K2000_">#N/A</definedName>
    <definedName name="l">[16]HQ00!$IU$8180</definedName>
    <definedName name="LEVEL" localSheetId="24">#REF!</definedName>
    <definedName name="LEVEL" localSheetId="12">#REF!</definedName>
    <definedName name="LEVEL" localSheetId="13">#REF!</definedName>
    <definedName name="LEVEL">#REF!</definedName>
    <definedName name="ltind" localSheetId="24">#REF!</definedName>
    <definedName name="ltind" localSheetId="12">#REF!</definedName>
    <definedName name="ltind" localSheetId="13">#REF!</definedName>
    <definedName name="ltind">#REF!</definedName>
    <definedName name="m">[18]ST1!$IV$8169</definedName>
    <definedName name="MENU">#N/A</definedName>
    <definedName name="mill" localSheetId="24">#REF!</definedName>
    <definedName name="mill" localSheetId="12">#REF!</definedName>
    <definedName name="mill" localSheetId="13">#REF!</definedName>
    <definedName name="mill">#REF!</definedName>
    <definedName name="MTPI" localSheetId="24">#REF!</definedName>
    <definedName name="MTPI" localSheetId="12">#REF!</definedName>
    <definedName name="MTPI" localSheetId="13">#REF!</definedName>
    <definedName name="MTPI">#REF!</definedName>
    <definedName name="n">[18]ST1!$IV$8171</definedName>
    <definedName name="NonDom" localSheetId="24">#REF!</definedName>
    <definedName name="NonDom" localSheetId="12">#REF!</definedName>
    <definedName name="NonDom" localSheetId="13">#REF!</definedName>
    <definedName name="NonDom">#REF!</definedName>
    <definedName name="o">[16]HQ00!$A$1:$Q$60</definedName>
    <definedName name="Pop_Ratio" localSheetId="24">#REF!</definedName>
    <definedName name="Pop_Ratio" localSheetId="12">#REF!</definedName>
    <definedName name="Pop_Ratio" localSheetId="13">#REF!</definedName>
    <definedName name="Pop_Ratio">#REF!</definedName>
    <definedName name="_xlnm.Print_Area" localSheetId="1">'F1'!$A$1:$K$41</definedName>
    <definedName name="_xlnm.Print_Area" localSheetId="24">'F10'!$A$1:$D$10</definedName>
    <definedName name="_xlnm.Print_Area" localSheetId="25">'F11'!$A$1:$F$16</definedName>
    <definedName name="_xlnm.Print_Area" localSheetId="2">'F2'!$A$1:$L$33</definedName>
    <definedName name="_xlnm.Print_Area" localSheetId="15">'F2 (2)'!$A$1:$D$24</definedName>
    <definedName name="_xlnm.Print_Area" localSheetId="16">'F3 (2)'!$A$1:$D$25</definedName>
    <definedName name="_xlnm.Print_Area" localSheetId="4">'F4'!$A$1:$K$38</definedName>
    <definedName name="_xlnm.Print_Area" localSheetId="17">'F4 (2)'!$A$1:$H$28</definedName>
    <definedName name="_xlnm.Print_Area" localSheetId="5">'F5'!$A$1:$N$86</definedName>
    <definedName name="_xlnm.Print_Area" localSheetId="18">F5A!$A$1:$J$30</definedName>
    <definedName name="_xlnm.Print_Area" localSheetId="19">F5B!$A$1:$N$15</definedName>
    <definedName name="_xlnm.Print_Area" localSheetId="6">'F6'!$A$1:$Q$49</definedName>
    <definedName name="_xlnm.Print_Area" localSheetId="7">'F7'!$A$1:$T$38</definedName>
    <definedName name="_xlnm.Print_Area" localSheetId="21">'F7 (2)'!$A$1:$G$20</definedName>
    <definedName name="_xlnm.Print_Area" localSheetId="8">'F8'!$A$1:$F$40</definedName>
    <definedName name="_xlnm.Print_Area" localSheetId="22">'F8(2)'!$A$1:$G$16</definedName>
    <definedName name="_xlnm.Print_Area" localSheetId="23">'F9'!$A$1:$D$27</definedName>
    <definedName name="_xlnm.Print_Area" localSheetId="0">Index!$A$1:$D$13</definedName>
    <definedName name="_xlnm.Print_Area" localSheetId="12">'S2'!$A$1:$D$44</definedName>
    <definedName name="_xlnm.Print_Area" localSheetId="13">'S3'!$A$1:$D$70</definedName>
    <definedName name="_xlnm.Print_Area">[1]EB!$A$1:$P$70</definedName>
    <definedName name="Print_Area_MI" localSheetId="24">#REF!</definedName>
    <definedName name="Print_Area_MI" localSheetId="12">#REF!</definedName>
    <definedName name="Print_Area_MI" localSheetId="13">#REF!</definedName>
    <definedName name="Print_Area_MI">#REF!</definedName>
    <definedName name="Print_Titles_MI" localSheetId="24">#REF!,#REF!</definedName>
    <definedName name="Print_Titles_MI" localSheetId="12">#REF!,#REF!</definedName>
    <definedName name="Print_Titles_MI" localSheetId="13">#REF!,#REF!</definedName>
    <definedName name="Print_Titles_MI">#REF!,#REF!</definedName>
    <definedName name="PTPI" localSheetId="24">#REF!</definedName>
    <definedName name="PTPI" localSheetId="12">#REF!</definedName>
    <definedName name="PTPI" localSheetId="13">#REF!</definedName>
    <definedName name="PTPI">#REF!</definedName>
    <definedName name="pw" localSheetId="24">'[9]N P C'!#REF!</definedName>
    <definedName name="pw" localSheetId="12">'[9]N P C'!#REF!</definedName>
    <definedName name="pw" localSheetId="13">'[9]N P C'!#REF!</definedName>
    <definedName name="pw">'[9]N P C'!#REF!</definedName>
    <definedName name="q">'[19]A 3.7'!$I$35,'[19]A 3.7'!$I$44</definedName>
    <definedName name="R_">#N/A</definedName>
    <definedName name="s">[15]ST1!$IV$8171</definedName>
    <definedName name="shft1">[14]SUMMERY!$P$1</definedName>
    <definedName name="shftI">[20]SUMMERY!$P$1</definedName>
    <definedName name="STPI" localSheetId="24">#REF!</definedName>
    <definedName name="STPI" localSheetId="12">#REF!</definedName>
    <definedName name="STPI" localSheetId="13">#REF!</definedName>
    <definedName name="STPI">#REF!</definedName>
    <definedName name="Sup" localSheetId="24">#REF!</definedName>
    <definedName name="Sup" localSheetId="12">#REF!</definedName>
    <definedName name="Sup" localSheetId="13">#REF!</definedName>
    <definedName name="Sup">#REF!</definedName>
    <definedName name="Supp" localSheetId="24">#REF!</definedName>
    <definedName name="Supp" localSheetId="12">#REF!</definedName>
    <definedName name="Supp" localSheetId="13">#REF!</definedName>
    <definedName name="Supp">#REF!</definedName>
    <definedName name="SUPP1">[7]PP!$W$6</definedName>
    <definedName name="T_T">[12]data!$F$720</definedName>
    <definedName name="thou" localSheetId="24">#REF!</definedName>
    <definedName name="thou" localSheetId="12">#REF!</definedName>
    <definedName name="thou" localSheetId="13">#REF!</definedName>
    <definedName name="thou">#REF!</definedName>
    <definedName name="UG" localSheetId="24">#REF!</definedName>
    <definedName name="UG" localSheetId="12">#REF!</definedName>
    <definedName name="UG" localSheetId="13">#REF!</definedName>
    <definedName name="UG">#REF!</definedName>
    <definedName name="v">[18]ST1!$IV$8176</definedName>
    <definedName name="WIP_944" localSheetId="24">#REF!</definedName>
    <definedName name="WIP_944" localSheetId="12">#REF!</definedName>
    <definedName name="WIP_944" localSheetId="13">#REF!</definedName>
    <definedName name="WIP_944">#REF!</definedName>
    <definedName name="wrn.Formats." hidden="1">{#N/A,#N/A,FALSE,"Form 1.1";#N/A,#N/A,FALSE,"Sch-VI";#N/A,#N/A,FALSE,"Form 1.1a";#N/A,#N/A,FALSE,"1.1b";#N/A,#N/A,FALSE,"1.1 c";#N/A,#N/A,FALSE,"1.1d";#N/A,#N/A,FALSE,"1.1e";#N/A,#N/A,FALSE,"1.1f";#N/A,#N/A,FALSE,"Capitalisation";#N/A,#N/A,FALSE,"Invt.Plan";#N/A,#N/A,FALSE,"1.1g";#N/A,#N/A,FALSE,"Other Lease";#N/A,#N/A,FALSE,"1.1h";#N/A,#N/A,FALSE,"1.1i";#N/A,#N/A,FALSE,"1.2";#N/A,#N/A,FALSE,"1.3";#N/A,#N/A,FALSE,"1.3b";#N/A,#N/A,FALSE,"1.3c";#N/A,#N/A,FALSE,"1.3d";#N/A,#N/A,FALSE,"1.3e";#N/A,#N/A,FALSE,"1.4";#N/A,#N/A,FALSE,"1.5";#N/A,#N/A,FALSE,"1.6";#N/A,#N/A,FALSE,"2.1 (transco)";#N/A,#N/A,FALSE,"2.1(Discoms)";#N/A,#N/A,FALSE,"4.1 (Transco)";#N/A,#N/A,FALSE,"4.1 (Discoms)";#N/A,#N/A,FALSE,"4.2 (Transco)";#N/A,#N/A,FALSE,"4.2 (Discoms)";#N/A,#N/A,FALSE,"Load Shedding";#N/A,#N/A,FALSE,"Overloading";#N/A,#N/A,FALSE,"Recvbls-Ageing";#N/A,#N/A,FALSE,"Pending . Conn"}</definedName>
    <definedName name="X">#N/A</definedName>
    <definedName name="X1_" localSheetId="24">#REF!</definedName>
    <definedName name="X1_" localSheetId="12">#REF!</definedName>
    <definedName name="X1_" localSheetId="13">#REF!</definedName>
    <definedName name="X1_">#REF!</definedName>
    <definedName name="Y122_">[2]DLC!$HR$109</definedName>
    <definedName name="YEAR" localSheetId="24">#REF!</definedName>
    <definedName name="YEAR" localSheetId="12">#REF!</definedName>
    <definedName name="YEAR" localSheetId="13">#REF!</definedName>
    <definedName name="YEAR">#REF!</definedName>
    <definedName name="YTPI" localSheetId="24">#REF!</definedName>
    <definedName name="YTPI" localSheetId="12">#REF!</definedName>
    <definedName name="YTPI" localSheetId="13">#REF!</definedName>
    <definedName name="YTPI">#REF!</definedName>
    <definedName name="z">[18]ST1!$A$1:$R$51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8" l="1"/>
  <c r="F8" i="27"/>
  <c r="F9" i="27"/>
  <c r="G8" i="27"/>
  <c r="G15" i="27"/>
  <c r="I11" i="29" l="1"/>
  <c r="I12" i="29"/>
  <c r="U25" i="9"/>
  <c r="S13" i="9" l="1"/>
  <c r="S12" i="9"/>
  <c r="S14" i="9" s="1"/>
  <c r="P10" i="10" l="1"/>
  <c r="I13" i="29" l="1"/>
  <c r="I14" i="29" s="1"/>
  <c r="I15" i="29" s="1"/>
  <c r="I10" i="29"/>
  <c r="G22" i="27"/>
  <c r="G21" i="27"/>
  <c r="G20" i="27"/>
  <c r="G19" i="27"/>
  <c r="G14" i="27"/>
  <c r="G13" i="27"/>
  <c r="G12" i="27"/>
  <c r="G24" i="27" l="1"/>
  <c r="M17" i="11"/>
  <c r="Q161" i="7" l="1"/>
  <c r="Q150" i="7"/>
  <c r="AC133" i="7"/>
  <c r="AA133" i="7"/>
  <c r="AC128" i="7"/>
  <c r="AA128" i="7"/>
  <c r="O37" i="9" l="1"/>
  <c r="O13" i="9" l="1"/>
  <c r="G13" i="26" l="1"/>
  <c r="G11" i="25"/>
  <c r="G14" i="25"/>
  <c r="G7" i="24"/>
  <c r="H23" i="22" l="1"/>
  <c r="G23" i="22"/>
  <c r="F23" i="22"/>
  <c r="D23" i="22"/>
  <c r="G22" i="21"/>
  <c r="F16" i="18"/>
  <c r="F11" i="18"/>
  <c r="F10" i="18"/>
  <c r="O22" i="4" l="1"/>
  <c r="F20" i="18" s="1"/>
  <c r="J125" i="9" l="1"/>
  <c r="I125" i="9"/>
  <c r="G7" i="32" l="1"/>
  <c r="Q162" i="7" l="1"/>
  <c r="E27" i="35"/>
  <c r="Q152" i="7" l="1"/>
  <c r="L4" i="35"/>
  <c r="L6" i="35" s="1"/>
  <c r="E6" i="35" l="1"/>
  <c r="N117" i="9" l="1"/>
  <c r="N125" i="9"/>
  <c r="H125" i="9"/>
  <c r="K125" i="9" s="1"/>
  <c r="L125" i="9" s="1"/>
  <c r="N124" i="9"/>
  <c r="J124" i="9"/>
  <c r="I124" i="9"/>
  <c r="H124" i="9"/>
  <c r="N123" i="9"/>
  <c r="J123" i="9"/>
  <c r="I123" i="9"/>
  <c r="K123" i="9" s="1"/>
  <c r="L123" i="9" s="1"/>
  <c r="H123" i="9"/>
  <c r="K124" i="9" l="1"/>
  <c r="L124" i="9" s="1"/>
  <c r="M124" i="9" s="1"/>
  <c r="M125" i="9"/>
  <c r="M123" i="9"/>
  <c r="N122" i="9" l="1"/>
  <c r="N112" i="9"/>
  <c r="J122" i="9"/>
  <c r="H122" i="9"/>
  <c r="K122" i="9" s="1"/>
  <c r="L122" i="9" s="1"/>
  <c r="L126" i="9" l="1"/>
  <c r="K126" i="9"/>
  <c r="J126" i="9"/>
  <c r="I126" i="9"/>
  <c r="O30" i="9" s="1"/>
  <c r="H126" i="9"/>
  <c r="M122" i="9"/>
  <c r="D208" i="7" l="1"/>
  <c r="N23" i="4" l="1"/>
  <c r="E9" i="12"/>
  <c r="R12" i="11"/>
  <c r="N12" i="11"/>
  <c r="N14" i="11" s="1"/>
  <c r="N18" i="10"/>
  <c r="N17" i="10"/>
  <c r="N11" i="10"/>
  <c r="N12" i="10" s="1"/>
  <c r="O70" i="9"/>
  <c r="N41" i="9"/>
  <c r="N42" i="9" s="1"/>
  <c r="N31" i="9"/>
  <c r="N43" i="9" l="1"/>
  <c r="N17" i="9"/>
  <c r="H127" i="10"/>
  <c r="D24" i="22" s="1"/>
  <c r="H125" i="10"/>
  <c r="D22" i="22" s="1"/>
  <c r="H124" i="10"/>
  <c r="D21" i="22" s="1"/>
  <c r="H123" i="10"/>
  <c r="D20" i="22" s="1"/>
  <c r="H122" i="10"/>
  <c r="D19" i="22" s="1"/>
  <c r="H121" i="10"/>
  <c r="D18" i="22" s="1"/>
  <c r="H120" i="10"/>
  <c r="D17" i="22" s="1"/>
  <c r="H119" i="10"/>
  <c r="D16" i="22" s="1"/>
  <c r="H118" i="10"/>
  <c r="D15" i="22" s="1"/>
  <c r="H117" i="10"/>
  <c r="D14" i="22" s="1"/>
  <c r="H116" i="10"/>
  <c r="D13" i="22" s="1"/>
  <c r="H115" i="10"/>
  <c r="D12" i="22" s="1"/>
  <c r="H112" i="10"/>
  <c r="K9" i="8"/>
  <c r="O29" i="4" s="1"/>
  <c r="O11" i="11" s="1"/>
  <c r="G9" i="26" s="1"/>
  <c r="H111" i="10" l="1"/>
  <c r="D9" i="22"/>
  <c r="N33" i="9"/>
  <c r="H188" i="7"/>
  <c r="H187" i="7"/>
  <c r="J96" i="7" l="1"/>
  <c r="J83" i="7"/>
  <c r="O12" i="4"/>
  <c r="N138" i="7" l="1"/>
  <c r="N139" i="7"/>
  <c r="J59" i="7" l="1"/>
  <c r="J62" i="7" s="1"/>
  <c r="K33" i="7"/>
  <c r="H138" i="7" l="1"/>
  <c r="F13" i="32" l="1"/>
  <c r="N140" i="7" l="1"/>
  <c r="I36" i="7"/>
  <c r="L126" i="10" l="1"/>
  <c r="H114" i="10"/>
  <c r="H129" i="10" s="1"/>
  <c r="I106" i="10"/>
  <c r="N48" i="9"/>
  <c r="P48" i="9"/>
  <c r="Q48" i="9"/>
  <c r="N27" i="4"/>
  <c r="D35" i="12"/>
  <c r="D34" i="12"/>
  <c r="N86" i="9"/>
  <c r="N113" i="9"/>
  <c r="N114" i="9"/>
  <c r="N115" i="9"/>
  <c r="N116" i="9"/>
  <c r="D36" i="12" l="1"/>
  <c r="D39" i="12" s="1"/>
  <c r="E22" i="21"/>
  <c r="P161" i="7" l="1"/>
  <c r="P150" i="7"/>
  <c r="G185" i="7" l="1"/>
  <c r="M20" i="10" l="1"/>
  <c r="O20" i="10" s="1"/>
  <c r="I10" i="23" s="1"/>
  <c r="F14" i="25" l="1"/>
  <c r="F7" i="24"/>
  <c r="I9" i="23"/>
  <c r="E10" i="18" l="1"/>
  <c r="E11" i="18"/>
  <c r="E16" i="18"/>
  <c r="D8" i="18"/>
  <c r="D11" i="18"/>
  <c r="D16" i="18"/>
  <c r="D18" i="18"/>
  <c r="F15" i="32" l="1"/>
  <c r="F11" i="32"/>
  <c r="F10" i="32"/>
  <c r="F9" i="32"/>
  <c r="F8" i="32"/>
  <c r="F7" i="32"/>
  <c r="L47" i="9" l="1"/>
  <c r="L49" i="9"/>
  <c r="L72" i="9" l="1"/>
  <c r="I31" i="2"/>
  <c r="I12" i="2"/>
  <c r="I13" i="2"/>
  <c r="I18" i="2"/>
  <c r="H31" i="2"/>
  <c r="H29" i="2"/>
  <c r="H25" i="2"/>
  <c r="H10" i="2"/>
  <c r="H11" i="2"/>
  <c r="H12" i="2"/>
  <c r="H13" i="2"/>
  <c r="H14" i="2"/>
  <c r="H23" i="2" s="1"/>
  <c r="H27" i="2" s="1"/>
  <c r="H15" i="2"/>
  <c r="H16" i="2"/>
  <c r="H17" i="2"/>
  <c r="H18" i="2"/>
  <c r="H19" i="2"/>
  <c r="H20" i="2"/>
  <c r="H21" i="2"/>
  <c r="H22" i="2"/>
  <c r="H9" i="2"/>
  <c r="M29" i="4"/>
  <c r="M11" i="11" s="1"/>
  <c r="I29" i="2" l="1"/>
  <c r="J116" i="9" l="1"/>
  <c r="K116" i="9"/>
  <c r="I116" i="9"/>
  <c r="H116" i="9"/>
  <c r="K115" i="9"/>
  <c r="H115" i="9"/>
  <c r="J112" i="9"/>
  <c r="H112" i="9"/>
  <c r="K112" i="9" s="1"/>
  <c r="L112" i="9" s="1"/>
  <c r="L116" i="9" l="1"/>
  <c r="M116" i="9" s="1"/>
  <c r="J115" i="9"/>
  <c r="J117" i="9" s="1"/>
  <c r="L115" i="9"/>
  <c r="M115" i="9" s="1"/>
  <c r="M112" i="9"/>
  <c r="I117" i="9"/>
  <c r="H117" i="9"/>
  <c r="K117" i="9" l="1"/>
  <c r="L117" i="9" l="1"/>
  <c r="M117" i="9" s="1"/>
  <c r="M76" i="9" s="1"/>
  <c r="F17" i="25" l="1"/>
  <c r="K20" i="4"/>
  <c r="F23" i="27"/>
  <c r="F22" i="27"/>
  <c r="F21" i="27"/>
  <c r="F20" i="27"/>
  <c r="F19" i="27"/>
  <c r="F14" i="27"/>
  <c r="F13" i="27"/>
  <c r="F12" i="27"/>
  <c r="F11" i="27"/>
  <c r="F9" i="26"/>
  <c r="F11" i="26"/>
  <c r="F13" i="26"/>
  <c r="F22" i="21"/>
  <c r="F9" i="21"/>
  <c r="M22" i="4"/>
  <c r="J106" i="9"/>
  <c r="I106" i="9"/>
  <c r="H106" i="9"/>
  <c r="J105" i="9"/>
  <c r="I105" i="9"/>
  <c r="J104" i="9"/>
  <c r="I104" i="9"/>
  <c r="J103" i="9"/>
  <c r="I103" i="9"/>
  <c r="H103" i="9"/>
  <c r="J102" i="9"/>
  <c r="I102" i="9"/>
  <c r="H102" i="9"/>
  <c r="K105" i="9" l="1"/>
  <c r="L105" i="9" s="1"/>
  <c r="N105" i="9" s="1"/>
  <c r="K103" i="9"/>
  <c r="L103" i="9" s="1"/>
  <c r="N103" i="9" s="1"/>
  <c r="K104" i="9"/>
  <c r="L104" i="9" s="1"/>
  <c r="N104" i="9" s="1"/>
  <c r="I22" i="2"/>
  <c r="E20" i="18"/>
  <c r="J107" i="9"/>
  <c r="K106" i="9"/>
  <c r="L106" i="9" s="1"/>
  <c r="N106" i="9" s="1"/>
  <c r="F16" i="27"/>
  <c r="F25" i="27" s="1"/>
  <c r="H107" i="9"/>
  <c r="I107" i="9"/>
  <c r="F24" i="27"/>
  <c r="K102" i="9"/>
  <c r="K107" i="9" l="1"/>
  <c r="L102" i="9"/>
  <c r="N102" i="9" s="1"/>
  <c r="N107" i="9" s="1"/>
  <c r="L107" i="9" l="1"/>
  <c r="M107" i="9" s="1"/>
  <c r="K14" i="9" l="1"/>
  <c r="M30" i="9"/>
  <c r="M18" i="9" l="1"/>
  <c r="O12" i="9" s="1"/>
  <c r="I98" i="10"/>
  <c r="H98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3" i="10"/>
  <c r="H83" i="10"/>
  <c r="L97" i="10"/>
  <c r="M10" i="10"/>
  <c r="I41" i="8"/>
  <c r="M25" i="4" s="1"/>
  <c r="I9" i="8"/>
  <c r="E11" i="21" l="1"/>
  <c r="E15" i="21"/>
  <c r="E19" i="21"/>
  <c r="E12" i="21"/>
  <c r="E20" i="21"/>
  <c r="E13" i="21"/>
  <c r="E17" i="21"/>
  <c r="E21" i="21"/>
  <c r="E16" i="21"/>
  <c r="E14" i="21"/>
  <c r="E18" i="21"/>
  <c r="E23" i="21"/>
  <c r="I25" i="2"/>
  <c r="E24" i="18"/>
  <c r="K86" i="10"/>
  <c r="L86" i="10" s="1"/>
  <c r="F13" i="21"/>
  <c r="F17" i="21"/>
  <c r="F21" i="21"/>
  <c r="F14" i="21"/>
  <c r="F23" i="21"/>
  <c r="F11" i="21"/>
  <c r="K90" i="10"/>
  <c r="F15" i="21"/>
  <c r="F19" i="21"/>
  <c r="I82" i="10"/>
  <c r="F8" i="21"/>
  <c r="F18" i="21"/>
  <c r="F12" i="21"/>
  <c r="F16" i="21"/>
  <c r="F20" i="21"/>
  <c r="K96" i="10"/>
  <c r="K95" i="10"/>
  <c r="K94" i="10"/>
  <c r="K93" i="10"/>
  <c r="K92" i="10"/>
  <c r="K91" i="10"/>
  <c r="K89" i="10"/>
  <c r="K88" i="10"/>
  <c r="H85" i="10"/>
  <c r="E10" i="21" s="1"/>
  <c r="K87" i="10"/>
  <c r="I85" i="10"/>
  <c r="K83" i="10"/>
  <c r="K82" i="10" s="1"/>
  <c r="G8" i="22" s="1"/>
  <c r="H82" i="10"/>
  <c r="K98" i="10"/>
  <c r="L89" i="10" l="1"/>
  <c r="L87" i="10"/>
  <c r="L90" i="10"/>
  <c r="L98" i="10"/>
  <c r="L91" i="10"/>
  <c r="D8" i="22"/>
  <c r="F8" i="22"/>
  <c r="F7" i="21"/>
  <c r="F25" i="21" s="1"/>
  <c r="L88" i="10"/>
  <c r="L92" i="10"/>
  <c r="L96" i="10"/>
  <c r="L93" i="10"/>
  <c r="L95" i="10"/>
  <c r="L83" i="10"/>
  <c r="L82" i="10" s="1"/>
  <c r="I100" i="10"/>
  <c r="F10" i="21"/>
  <c r="L94" i="10"/>
  <c r="H100" i="10"/>
  <c r="K85" i="10"/>
  <c r="K100" i="10" s="1"/>
  <c r="I104" i="10" l="1"/>
  <c r="M14" i="9" s="1"/>
  <c r="F11" i="19"/>
  <c r="F16" i="19" s="1"/>
  <c r="D9" i="23"/>
  <c r="F9" i="24"/>
  <c r="L85" i="10"/>
  <c r="L100" i="10" s="1"/>
  <c r="L102" i="10" s="1"/>
  <c r="F12" i="20"/>
  <c r="G188" i="7" l="1"/>
  <c r="G187" i="7"/>
  <c r="H96" i="7"/>
  <c r="H83" i="7"/>
  <c r="I60" i="7"/>
  <c r="K139" i="7"/>
  <c r="K140" i="7" l="1"/>
  <c r="F8" i="28"/>
  <c r="I81" i="7"/>
  <c r="F9" i="33" l="1"/>
  <c r="F8" i="33"/>
  <c r="F7" i="33"/>
  <c r="F19" i="32"/>
  <c r="F17" i="32"/>
  <c r="F16" i="32"/>
  <c r="F14" i="32"/>
  <c r="F12" i="32"/>
  <c r="F18" i="32" l="1"/>
  <c r="F10" i="33"/>
  <c r="F13" i="33" s="1"/>
  <c r="J139" i="7" s="1"/>
  <c r="L139" i="7" s="1"/>
  <c r="I33" i="7"/>
  <c r="I32" i="7"/>
  <c r="I35" i="7" l="1"/>
  <c r="M9" i="4" s="1"/>
  <c r="E7" i="18" s="1"/>
  <c r="M11" i="4"/>
  <c r="E9" i="18" s="1"/>
  <c r="I58" i="7"/>
  <c r="I94" i="7" s="1"/>
  <c r="K107" i="7" s="1"/>
  <c r="F7" i="28"/>
  <c r="F9" i="28" s="1"/>
  <c r="I80" i="7"/>
  <c r="I83" i="7" s="1"/>
  <c r="M14" i="4"/>
  <c r="F21" i="32"/>
  <c r="J138" i="7" s="1"/>
  <c r="M10" i="4"/>
  <c r="E8" i="18" s="1"/>
  <c r="I57" i="7"/>
  <c r="I93" i="7"/>
  <c r="K106" i="7" s="1"/>
  <c r="E7" i="24"/>
  <c r="I14" i="2" l="1"/>
  <c r="E12" i="18"/>
  <c r="I92" i="7"/>
  <c r="I96" i="7" s="1"/>
  <c r="I37" i="7"/>
  <c r="S10" i="4"/>
  <c r="M33" i="11"/>
  <c r="I11" i="2"/>
  <c r="M31" i="11"/>
  <c r="I9" i="2"/>
  <c r="M32" i="11"/>
  <c r="I10" i="2"/>
  <c r="M36" i="11"/>
  <c r="I59" i="7"/>
  <c r="I62" i="7" s="1"/>
  <c r="K110" i="7"/>
  <c r="L138" i="7"/>
  <c r="J140" i="7"/>
  <c r="E197" i="7" l="1"/>
  <c r="J62" i="4"/>
  <c r="I62" i="4"/>
  <c r="N161" i="7" l="1"/>
  <c r="N150" i="7"/>
  <c r="J23" i="4" l="1"/>
  <c r="L25" i="9" l="1"/>
  <c r="L26" i="9" s="1"/>
  <c r="L22" i="9"/>
  <c r="L24" i="9" s="1"/>
  <c r="L17" i="9"/>
  <c r="L10" i="11" l="1"/>
  <c r="H59" i="7"/>
  <c r="H62" i="7" s="1"/>
  <c r="H35" i="7"/>
  <c r="H37" i="7" s="1"/>
  <c r="F8" i="26" l="1"/>
  <c r="L140" i="7"/>
  <c r="M35" i="11"/>
  <c r="M38" i="11" s="1"/>
  <c r="L9" i="11" l="1"/>
  <c r="M9" i="11"/>
  <c r="F7" i="26" s="1"/>
  <c r="J53" i="9"/>
  <c r="J49" i="9"/>
  <c r="J77" i="9"/>
  <c r="E12" i="31"/>
  <c r="J14" i="11" l="1"/>
  <c r="G12" i="29" l="1"/>
  <c r="G11" i="29"/>
  <c r="G13" i="29" s="1"/>
  <c r="G8" i="29"/>
  <c r="G9" i="29"/>
  <c r="G7" i="29"/>
  <c r="E26" i="27"/>
  <c r="E23" i="27"/>
  <c r="E22" i="27"/>
  <c r="E21" i="27"/>
  <c r="E20" i="27"/>
  <c r="E19" i="27"/>
  <c r="E14" i="27"/>
  <c r="E13" i="27"/>
  <c r="E12" i="27"/>
  <c r="E11" i="27"/>
  <c r="E11" i="26"/>
  <c r="E13" i="26"/>
  <c r="D25" i="22"/>
  <c r="E9" i="21"/>
  <c r="E21" i="19"/>
  <c r="E5" i="20"/>
  <c r="G33" i="2"/>
  <c r="G13" i="2" s="1"/>
  <c r="J16" i="11"/>
  <c r="J95" i="9"/>
  <c r="J94" i="9"/>
  <c r="J93" i="9"/>
  <c r="J92" i="9"/>
  <c r="J91" i="9"/>
  <c r="I95" i="9"/>
  <c r="I94" i="9"/>
  <c r="I93" i="9"/>
  <c r="I92" i="9"/>
  <c r="I91" i="9"/>
  <c r="H95" i="9"/>
  <c r="H92" i="9"/>
  <c r="H91" i="9"/>
  <c r="K94" i="9" l="1"/>
  <c r="L94" i="9" s="1"/>
  <c r="N94" i="9" s="1"/>
  <c r="E24" i="27"/>
  <c r="G10" i="29"/>
  <c r="G14" i="29" s="1"/>
  <c r="E16" i="27"/>
  <c r="K93" i="9"/>
  <c r="L93" i="9" s="1"/>
  <c r="N93" i="9" s="1"/>
  <c r="K92" i="9"/>
  <c r="L92" i="9" s="1"/>
  <c r="N92" i="9" s="1"/>
  <c r="G18" i="2"/>
  <c r="J96" i="9"/>
  <c r="I96" i="9"/>
  <c r="H96" i="9"/>
  <c r="K95" i="9"/>
  <c r="L95" i="9" s="1"/>
  <c r="N95" i="9" s="1"/>
  <c r="K91" i="9"/>
  <c r="L91" i="9" s="1"/>
  <c r="N91" i="9" s="1"/>
  <c r="K55" i="9"/>
  <c r="K18" i="9"/>
  <c r="M12" i="9" s="1"/>
  <c r="Y128" i="7"/>
  <c r="F185" i="7"/>
  <c r="K12" i="4"/>
  <c r="D10" i="18" s="1"/>
  <c r="G60" i="7"/>
  <c r="H139" i="7"/>
  <c r="N96" i="9" l="1"/>
  <c r="E25" i="27"/>
  <c r="G81" i="7"/>
  <c r="E8" i="28" s="1"/>
  <c r="M96" i="9"/>
  <c r="E17" i="25" s="1"/>
  <c r="G12" i="2"/>
  <c r="L96" i="9"/>
  <c r="K96" i="9"/>
  <c r="P96" i="9" l="1"/>
  <c r="N97" i="9"/>
  <c r="E9" i="33"/>
  <c r="E8" i="33"/>
  <c r="E7" i="33"/>
  <c r="H140" i="7"/>
  <c r="I71" i="10"/>
  <c r="H71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6" i="10"/>
  <c r="I55" i="10" s="1"/>
  <c r="H56" i="10"/>
  <c r="H55" i="10" s="1"/>
  <c r="L70" i="10"/>
  <c r="H29" i="10"/>
  <c r="H32" i="10"/>
  <c r="H33" i="10"/>
  <c r="H34" i="10"/>
  <c r="H35" i="10"/>
  <c r="H36" i="10"/>
  <c r="H37" i="10"/>
  <c r="H38" i="10"/>
  <c r="H39" i="10"/>
  <c r="H40" i="10"/>
  <c r="H41" i="10"/>
  <c r="H42" i="10"/>
  <c r="H44" i="10"/>
  <c r="I29" i="10"/>
  <c r="I32" i="10"/>
  <c r="I33" i="10"/>
  <c r="I34" i="10"/>
  <c r="I35" i="10"/>
  <c r="I36" i="10"/>
  <c r="I37" i="10"/>
  <c r="I38" i="10"/>
  <c r="I39" i="10"/>
  <c r="I40" i="10"/>
  <c r="I41" i="10"/>
  <c r="I42" i="10"/>
  <c r="I44" i="10"/>
  <c r="G41" i="8"/>
  <c r="K25" i="4" s="1"/>
  <c r="D24" i="18" s="1"/>
  <c r="E10" i="33" l="1"/>
  <c r="E13" i="33" s="1"/>
  <c r="G139" i="7" s="1"/>
  <c r="K67" i="10"/>
  <c r="L67" i="10" s="1"/>
  <c r="E8" i="21"/>
  <c r="K62" i="10"/>
  <c r="L62" i="10" s="1"/>
  <c r="K64" i="10"/>
  <c r="L64" i="10" s="1"/>
  <c r="K71" i="10"/>
  <c r="L71" i="10" s="1"/>
  <c r="K61" i="10"/>
  <c r="L61" i="10" s="1"/>
  <c r="G25" i="2"/>
  <c r="K69" i="10"/>
  <c r="L69" i="10" s="1"/>
  <c r="K68" i="10"/>
  <c r="L68" i="10" s="1"/>
  <c r="K66" i="10"/>
  <c r="L66" i="10" s="1"/>
  <c r="K65" i="10"/>
  <c r="L65" i="10" s="1"/>
  <c r="K63" i="10"/>
  <c r="L63" i="10" s="1"/>
  <c r="I58" i="10"/>
  <c r="I73" i="10" s="1"/>
  <c r="K60" i="10"/>
  <c r="L60" i="10" s="1"/>
  <c r="K59" i="10"/>
  <c r="L59" i="10" s="1"/>
  <c r="H58" i="10"/>
  <c r="H73" i="10" s="1"/>
  <c r="K56" i="10"/>
  <c r="K55" i="10" s="1"/>
  <c r="I139" i="7" l="1"/>
  <c r="K11" i="4" s="1"/>
  <c r="D9" i="18" s="1"/>
  <c r="L58" i="10"/>
  <c r="K58" i="10"/>
  <c r="K73" i="10" s="1"/>
  <c r="I77" i="10"/>
  <c r="L56" i="10"/>
  <c r="L55" i="10" s="1"/>
  <c r="G58" i="7" l="1"/>
  <c r="G94" i="7" s="1"/>
  <c r="H107" i="7" s="1"/>
  <c r="E12" i="20"/>
  <c r="E9" i="24" s="1"/>
  <c r="E11" i="19"/>
  <c r="K10" i="10"/>
  <c r="D8" i="23" s="1"/>
  <c r="G11" i="2"/>
  <c r="J33" i="11"/>
  <c r="L73" i="10"/>
  <c r="L75" i="10" s="1"/>
  <c r="K13" i="10" s="1"/>
  <c r="G8" i="23" s="1"/>
  <c r="E8" i="26" l="1"/>
  <c r="J40" i="11"/>
  <c r="E16" i="19"/>
  <c r="K30" i="9"/>
  <c r="G9" i="8" l="1"/>
  <c r="G15" i="29"/>
  <c r="E19" i="32"/>
  <c r="E17" i="32"/>
  <c r="E16" i="32"/>
  <c r="E14" i="32"/>
  <c r="E13" i="32"/>
  <c r="E12" i="32"/>
  <c r="E11" i="32"/>
  <c r="E10" i="32"/>
  <c r="E9" i="32"/>
  <c r="E8" i="32"/>
  <c r="E7" i="32"/>
  <c r="E15" i="32" s="1"/>
  <c r="E18" i="32" l="1"/>
  <c r="E21" i="32" l="1"/>
  <c r="G138" i="7" s="1"/>
  <c r="F32" i="8"/>
  <c r="G32" i="8"/>
  <c r="F96" i="7"/>
  <c r="F83" i="7"/>
  <c r="F59" i="7"/>
  <c r="F62" i="7" s="1"/>
  <c r="K29" i="4"/>
  <c r="J27" i="4"/>
  <c r="G48" i="7"/>
  <c r="E48" i="7"/>
  <c r="F35" i="7"/>
  <c r="F37" i="7" s="1"/>
  <c r="G140" i="7" l="1"/>
  <c r="I138" i="7"/>
  <c r="G57" i="7" s="1"/>
  <c r="K11" i="11"/>
  <c r="E9" i="26" s="1"/>
  <c r="G29" i="2"/>
  <c r="G33" i="7"/>
  <c r="I140" i="7" l="1"/>
  <c r="G93" i="7"/>
  <c r="H106" i="7" s="1"/>
  <c r="H110" i="7" s="1"/>
  <c r="G59" i="7"/>
  <c r="G62" i="7" s="1"/>
  <c r="J32" i="11"/>
  <c r="G10" i="2"/>
  <c r="G36" i="7"/>
  <c r="K14" i="4" s="1"/>
  <c r="D12" i="18" s="1"/>
  <c r="G80" i="7" l="1"/>
  <c r="G32" i="7"/>
  <c r="G35" i="7" s="1"/>
  <c r="G37" i="7" l="1"/>
  <c r="K9" i="4"/>
  <c r="D7" i="18" s="1"/>
  <c r="G92" i="7"/>
  <c r="G96" i="7" s="1"/>
  <c r="J36" i="11"/>
  <c r="G14" i="2"/>
  <c r="E7" i="28"/>
  <c r="E9" i="28" s="1"/>
  <c r="G83" i="7"/>
  <c r="K22" i="4"/>
  <c r="D20" i="18" s="1"/>
  <c r="J31" i="11" l="1"/>
  <c r="J35" i="11" s="1"/>
  <c r="J38" i="11" s="1"/>
  <c r="G9" i="2"/>
  <c r="G22" i="2"/>
  <c r="F12" i="29"/>
  <c r="F11" i="29"/>
  <c r="F13" i="29" s="1"/>
  <c r="F9" i="29"/>
  <c r="F8" i="29"/>
  <c r="F7" i="29"/>
  <c r="E7" i="26" l="1"/>
  <c r="K12" i="11"/>
  <c r="B13" i="29"/>
  <c r="B14" i="29" s="1"/>
  <c r="B15" i="29" s="1"/>
  <c r="K14" i="11" l="1"/>
  <c r="E10" i="26"/>
  <c r="E139" i="7"/>
  <c r="E138" i="7"/>
  <c r="E12" i="26" l="1"/>
  <c r="K16" i="11"/>
  <c r="E33" i="2"/>
  <c r="F31" i="2" l="1"/>
  <c r="F29" i="2"/>
  <c r="K17" i="4"/>
  <c r="D15" i="18" s="1"/>
  <c r="E14" i="26"/>
  <c r="D81" i="31"/>
  <c r="D62" i="31"/>
  <c r="G17" i="2" l="1"/>
  <c r="F16" i="7"/>
  <c r="F9" i="7"/>
  <c r="G22" i="4" l="1"/>
  <c r="G19" i="4"/>
  <c r="G15" i="4"/>
  <c r="G25" i="4"/>
  <c r="G9" i="4"/>
  <c r="G16" i="4"/>
  <c r="J86" i="9" l="1"/>
  <c r="I86" i="9"/>
  <c r="H86" i="9"/>
  <c r="G13" i="4" l="1"/>
  <c r="E33" i="7" l="1"/>
  <c r="E140" i="7" l="1"/>
  <c r="H17" i="4"/>
  <c r="H13" i="4"/>
  <c r="H12" i="4"/>
  <c r="E32" i="7" l="1"/>
  <c r="P35" i="7" l="1"/>
  <c r="E141" i="7"/>
  <c r="L161" i="7"/>
  <c r="L150" i="7"/>
  <c r="E60" i="7"/>
  <c r="E36" i="7" l="1"/>
  <c r="G34" i="4" l="1"/>
  <c r="K38" i="4"/>
  <c r="L38" i="4" s="1"/>
  <c r="L50" i="4" s="1"/>
  <c r="I22" i="4"/>
  <c r="G29" i="4"/>
  <c r="G18" i="4"/>
  <c r="G12" i="4"/>
  <c r="F34" i="4"/>
  <c r="F29" i="4"/>
  <c r="D23" i="4"/>
  <c r="D27" i="4" s="1"/>
  <c r="D31" i="4" s="1"/>
  <c r="E41" i="8"/>
  <c r="E9" i="8"/>
  <c r="I30" i="9"/>
  <c r="G30" i="9"/>
  <c r="I18" i="9"/>
  <c r="K12" i="9" s="1"/>
  <c r="G76" i="9"/>
  <c r="G70" i="9"/>
  <c r="G60" i="9"/>
  <c r="G55" i="9"/>
  <c r="G52" i="9"/>
  <c r="G46" i="9"/>
  <c r="G40" i="9"/>
  <c r="G37" i="9"/>
  <c r="G32" i="9"/>
  <c r="G24" i="9"/>
  <c r="G29" i="9"/>
  <c r="F71" i="9"/>
  <c r="F55" i="9"/>
  <c r="G26" i="9"/>
  <c r="G25" i="9"/>
  <c r="G22" i="9"/>
  <c r="F24" i="9"/>
  <c r="G18" i="9"/>
  <c r="I12" i="9" s="1"/>
  <c r="G15" i="9"/>
  <c r="G13" i="9"/>
  <c r="G12" i="9"/>
  <c r="G11" i="9"/>
  <c r="F12" i="9"/>
  <c r="H10" i="10"/>
  <c r="H9" i="10"/>
  <c r="F17" i="10"/>
  <c r="F15" i="10"/>
  <c r="F10" i="10"/>
  <c r="G20" i="10"/>
  <c r="I20" i="10" s="1"/>
  <c r="K20" i="10" s="1"/>
  <c r="G18" i="10"/>
  <c r="G17" i="10"/>
  <c r="I15" i="10" s="1"/>
  <c r="G16" i="10"/>
  <c r="G15" i="10"/>
  <c r="G9" i="10"/>
  <c r="I8" i="23" l="1"/>
  <c r="F18" i="10"/>
  <c r="F19" i="10" s="1"/>
  <c r="K50" i="4"/>
  <c r="H11" i="10"/>
  <c r="H12" i="10" s="1"/>
  <c r="F16" i="10"/>
  <c r="G15" i="11" l="1"/>
  <c r="F12" i="11"/>
  <c r="F14" i="11" s="1"/>
  <c r="F16" i="11" s="1"/>
  <c r="G11" i="11" l="1"/>
  <c r="G31" i="9" l="1"/>
  <c r="G14" i="9" l="1"/>
  <c r="G10" i="10" l="1"/>
  <c r="G17" i="9"/>
  <c r="G41" i="9"/>
  <c r="G43" i="9" l="1"/>
  <c r="G42" i="9"/>
  <c r="G11" i="10"/>
  <c r="G34" i="9" l="1"/>
  <c r="G33" i="9"/>
  <c r="G61" i="9"/>
  <c r="G47" i="9"/>
  <c r="G48" i="9"/>
  <c r="G12" i="10"/>
  <c r="G13" i="10"/>
  <c r="G49" i="9" l="1"/>
  <c r="G62" i="9"/>
  <c r="G14" i="10"/>
  <c r="G19" i="10"/>
  <c r="G73" i="9" l="1"/>
  <c r="G56" i="9"/>
  <c r="G53" i="9"/>
  <c r="G72" i="9"/>
  <c r="G71" i="9" l="1"/>
  <c r="G74" i="9" l="1"/>
  <c r="G75" i="9" l="1"/>
  <c r="G77" i="9" l="1"/>
  <c r="G19" i="9" l="1"/>
  <c r="G16" i="9"/>
  <c r="G38" i="9" l="1"/>
  <c r="G39" i="9"/>
  <c r="G10" i="4" l="1"/>
  <c r="G14" i="4"/>
  <c r="G11" i="4" l="1"/>
  <c r="G9" i="11" l="1"/>
  <c r="G10" i="11" l="1"/>
  <c r="G12" i="11" s="1"/>
  <c r="G14" i="11" s="1"/>
  <c r="G16" i="11" s="1"/>
  <c r="G17" i="4" l="1"/>
  <c r="I15" i="11" l="1"/>
  <c r="I38" i="4" s="1"/>
  <c r="I50" i="4" s="1"/>
  <c r="W128" i="7"/>
  <c r="X133" i="7" l="1"/>
  <c r="O150" i="7" s="1"/>
  <c r="F187" i="7" s="1"/>
  <c r="Y133" i="7"/>
  <c r="O161" i="7" s="1"/>
  <c r="F188" i="7" s="1"/>
  <c r="B53" i="31"/>
  <c r="B54" i="31" s="1"/>
  <c r="B55" i="31" s="1"/>
  <c r="B56" i="31" s="1"/>
  <c r="B57" i="31" s="1"/>
  <c r="B58" i="31" s="1"/>
  <c r="B59" i="31" s="1"/>
  <c r="B60" i="31" s="1"/>
  <c r="B48" i="31"/>
  <c r="B49" i="31" s="1"/>
  <c r="B50" i="31" s="1"/>
  <c r="D19" i="32" l="1"/>
  <c r="D17" i="32"/>
  <c r="D16" i="32"/>
  <c r="D15" i="32"/>
  <c r="D14" i="32"/>
  <c r="D13" i="32"/>
  <c r="D12" i="32"/>
  <c r="D11" i="32"/>
  <c r="D10" i="32"/>
  <c r="D9" i="32"/>
  <c r="D8" i="32"/>
  <c r="D7" i="32"/>
  <c r="D42" i="31" l="1"/>
  <c r="D60" i="31" l="1"/>
  <c r="D52" i="31"/>
  <c r="D30" i="31"/>
  <c r="D56" i="31"/>
  <c r="D22" i="31"/>
  <c r="D41" i="31"/>
  <c r="D76" i="31"/>
  <c r="D43" i="31"/>
  <c r="D53" i="31"/>
  <c r="D38" i="31"/>
  <c r="D59" i="31"/>
  <c r="D24" i="31"/>
  <c r="D58" i="31"/>
  <c r="D45" i="31"/>
  <c r="D44" i="31"/>
  <c r="D40" i="31"/>
  <c r="D55" i="31"/>
  <c r="D26" i="31"/>
  <c r="D68" i="31"/>
  <c r="D25" i="31"/>
  <c r="D29" i="31"/>
  <c r="D70" i="31"/>
  <c r="D69" i="31"/>
  <c r="D37" i="31"/>
  <c r="D23" i="31"/>
  <c r="D57" i="31"/>
  <c r="D31" i="31"/>
  <c r="D48" i="31"/>
  <c r="D61" i="31"/>
  <c r="D47" i="31"/>
  <c r="D34" i="31"/>
  <c r="D54" i="31"/>
  <c r="D72" i="31"/>
  <c r="D71" i="31"/>
  <c r="D32" i="31"/>
  <c r="D35" i="31"/>
  <c r="D49" i="31"/>
  <c r="D39" i="31"/>
  <c r="D50" i="31"/>
  <c r="D33" i="31"/>
  <c r="D74" i="31"/>
  <c r="D73" i="31"/>
  <c r="D21" i="31" l="1"/>
  <c r="E61" i="31" s="1"/>
  <c r="D67" i="31"/>
  <c r="D9" i="33" l="1"/>
  <c r="D8" i="33"/>
  <c r="D7" i="33"/>
  <c r="D26" i="27"/>
  <c r="D23" i="27"/>
  <c r="D22" i="27"/>
  <c r="D21" i="27"/>
  <c r="D20" i="27"/>
  <c r="D19" i="27"/>
  <c r="D14" i="27"/>
  <c r="D13" i="27"/>
  <c r="D12" i="27"/>
  <c r="D11" i="27"/>
  <c r="D7" i="24" l="1"/>
  <c r="D51" i="31" l="1"/>
  <c r="F82" i="31" l="1"/>
  <c r="K85" i="9" l="1"/>
  <c r="L85" i="9" s="1"/>
  <c r="O85" i="9" s="1"/>
  <c r="K84" i="9"/>
  <c r="L84" i="9" s="1"/>
  <c r="O84" i="9" s="1"/>
  <c r="K83" i="9"/>
  <c r="L83" i="9" s="1"/>
  <c r="O83" i="9" s="1"/>
  <c r="K82" i="9"/>
  <c r="L82" i="9" l="1"/>
  <c r="O82" i="9" s="1"/>
  <c r="O86" i="9" s="1"/>
  <c r="K86" i="9"/>
  <c r="D20" i="12"/>
  <c r="L86" i="9" l="1"/>
  <c r="I46" i="9"/>
  <c r="I32" i="9"/>
  <c r="I29" i="9"/>
  <c r="I25" i="9"/>
  <c r="I22" i="9"/>
  <c r="I11" i="9"/>
  <c r="D7" i="19" s="1"/>
  <c r="I9" i="10"/>
  <c r="G21" i="10" l="1"/>
  <c r="I70" i="9" l="1"/>
  <c r="U128" i="7" l="1"/>
  <c r="V133" i="7" s="1"/>
  <c r="D37" i="7" l="1"/>
  <c r="D68" i="17" l="1"/>
  <c r="D62" i="17"/>
  <c r="D59" i="17"/>
  <c r="D51" i="17"/>
  <c r="D45" i="17"/>
  <c r="D38" i="17"/>
  <c r="D32" i="17"/>
  <c r="D30" i="17"/>
  <c r="D25" i="17"/>
  <c r="D14" i="17"/>
  <c r="D9" i="17"/>
  <c r="D43" i="16"/>
  <c r="D42" i="16"/>
  <c r="D41" i="16"/>
  <c r="D40" i="16"/>
  <c r="D39" i="16"/>
  <c r="D38" i="16"/>
  <c r="D36" i="16"/>
  <c r="D35" i="16"/>
  <c r="D34" i="16"/>
  <c r="D33" i="16"/>
  <c r="D31" i="16"/>
  <c r="D30" i="16"/>
  <c r="D29" i="16"/>
  <c r="D28" i="16"/>
  <c r="D27" i="16"/>
  <c r="D21" i="16"/>
  <c r="D20" i="16"/>
  <c r="D19" i="16"/>
  <c r="D18" i="16"/>
  <c r="D16" i="16"/>
  <c r="D15" i="16"/>
  <c r="D14" i="16"/>
  <c r="D13" i="16"/>
  <c r="D11" i="16"/>
  <c r="D10" i="16"/>
  <c r="D9" i="16"/>
  <c r="L178" i="7" l="1"/>
  <c r="F173" i="7" l="1"/>
  <c r="F171" i="7"/>
  <c r="F170" i="7"/>
  <c r="L179" i="7"/>
  <c r="L180" i="7" s="1"/>
  <c r="I178" i="7"/>
  <c r="F179" i="7"/>
  <c r="F178" i="7"/>
  <c r="L173" i="7"/>
  <c r="M173" i="7" s="1"/>
  <c r="L172" i="7"/>
  <c r="L171" i="7"/>
  <c r="J180" i="7"/>
  <c r="H180" i="7"/>
  <c r="G180" i="7"/>
  <c r="E180" i="7"/>
  <c r="D180" i="7"/>
  <c r="M170" i="7"/>
  <c r="J174" i="7"/>
  <c r="I174" i="7"/>
  <c r="H174" i="7"/>
  <c r="G172" i="7"/>
  <c r="G174" i="7" s="1"/>
  <c r="F180" i="7" l="1"/>
  <c r="I180" i="7"/>
  <c r="F172" i="7"/>
  <c r="F174" i="7" s="1"/>
  <c r="L174" i="7"/>
  <c r="B10" i="4" l="1"/>
  <c r="B11" i="4" s="1"/>
  <c r="B12" i="4" s="1"/>
  <c r="B13" i="4" s="1"/>
  <c r="B14" i="4" l="1"/>
  <c r="B15" i="4" s="1"/>
  <c r="B16" i="4" s="1"/>
  <c r="B17" i="4" s="1"/>
  <c r="B18" i="4" s="1"/>
  <c r="B19" i="4" s="1"/>
  <c r="B20" i="4" s="1"/>
  <c r="B21" i="4" s="1"/>
  <c r="B22" i="4" s="1"/>
  <c r="B23" i="4" s="1"/>
  <c r="B25" i="4" s="1"/>
  <c r="B27" i="4" s="1"/>
  <c r="B29" i="4" s="1"/>
  <c r="B31" i="4" s="1"/>
  <c r="B34" i="4" s="1"/>
  <c r="B37" i="4" s="1"/>
  <c r="B40" i="4" s="1"/>
  <c r="I55" i="9" l="1"/>
  <c r="E128" i="7" l="1"/>
  <c r="D128" i="7"/>
  <c r="D23" i="18" l="1"/>
  <c r="H62" i="9" l="1"/>
  <c r="E71" i="7"/>
  <c r="E12" i="11" l="1"/>
  <c r="E14" i="11" s="1"/>
  <c r="E16" i="11" s="1"/>
  <c r="E10" i="10"/>
  <c r="E9" i="10"/>
  <c r="E39" i="9"/>
  <c r="F37" i="9" s="1"/>
  <c r="E31" i="9"/>
  <c r="F29" i="9" s="1"/>
  <c r="F31" i="9" s="1"/>
  <c r="D62" i="9"/>
  <c r="D43" i="9"/>
  <c r="D42" i="9"/>
  <c r="D39" i="9"/>
  <c r="E11" i="10" l="1"/>
  <c r="E12" i="10" s="1"/>
  <c r="D31" i="9"/>
  <c r="D24" i="9"/>
  <c r="D17" i="9"/>
  <c r="D47" i="9" s="1"/>
  <c r="D55" i="9"/>
  <c r="D12" i="11"/>
  <c r="D14" i="11" s="1"/>
  <c r="D16" i="11" s="1"/>
  <c r="H17" i="10"/>
  <c r="E17" i="10"/>
  <c r="D17" i="10"/>
  <c r="E15" i="10"/>
  <c r="D15" i="10"/>
  <c r="H15" i="10"/>
  <c r="D10" i="10"/>
  <c r="D9" i="10"/>
  <c r="D73" i="9"/>
  <c r="D48" i="9" l="1"/>
  <c r="D49" i="9"/>
  <c r="D33" i="9"/>
  <c r="D72" i="9" s="1"/>
  <c r="D19" i="9"/>
  <c r="D16" i="9" s="1"/>
  <c r="E16" i="10"/>
  <c r="D16" i="10"/>
  <c r="D11" i="10"/>
  <c r="D12" i="10" s="1"/>
  <c r="D14" i="10" s="1"/>
  <c r="D53" i="9"/>
  <c r="D56" i="9"/>
  <c r="D18" i="10"/>
  <c r="D19" i="10" s="1"/>
  <c r="E18" i="10"/>
  <c r="E19" i="10" s="1"/>
  <c r="D34" i="9" l="1"/>
  <c r="D21" i="10"/>
  <c r="D71" i="9" l="1"/>
  <c r="D74" i="9" s="1"/>
  <c r="D75" i="9" s="1"/>
  <c r="D77" i="9" s="1"/>
  <c r="E23" i="4" l="1"/>
  <c r="E31" i="4" s="1"/>
  <c r="E35" i="4" s="1"/>
  <c r="E37" i="4" s="1"/>
  <c r="E39" i="4" l="1"/>
  <c r="E40" i="4" s="1"/>
  <c r="B23" i="3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F10" i="29" l="1"/>
  <c r="C26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9" i="22"/>
  <c r="C8" i="22"/>
  <c r="B26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9" i="22"/>
  <c r="B8" i="22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7" i="21"/>
  <c r="B8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8" i="21"/>
  <c r="C7" i="21"/>
  <c r="D21" i="19"/>
  <c r="C5" i="19"/>
  <c r="D25" i="18"/>
  <c r="B26" i="18"/>
  <c r="B24" i="18"/>
  <c r="B22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C24" i="18"/>
  <c r="C22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B7" i="18"/>
  <c r="C7" i="18"/>
  <c r="B71" i="9"/>
  <c r="B72" i="9" s="1"/>
  <c r="B73" i="9" s="1"/>
  <c r="B74" i="9" s="1"/>
  <c r="B75" i="9" s="1"/>
  <c r="B76" i="9" s="1"/>
  <c r="B77" i="9" s="1"/>
  <c r="D33" i="2"/>
  <c r="F16" i="2" l="1"/>
  <c r="F11" i="2"/>
  <c r="F17" i="2"/>
  <c r="F25" i="2"/>
  <c r="F15" i="2"/>
  <c r="F10" i="2"/>
  <c r="F19" i="2"/>
  <c r="F13" i="2"/>
  <c r="F9" i="2"/>
  <c r="F12" i="2"/>
  <c r="F14" i="29"/>
  <c r="F15" i="29" s="1"/>
  <c r="F23" i="2" l="1"/>
  <c r="F27" i="2" s="1"/>
  <c r="D92" i="7"/>
  <c r="H9" i="4" s="1"/>
  <c r="P32" i="7" s="1"/>
  <c r="D80" i="7"/>
  <c r="S128" i="7" l="1"/>
  <c r="T133" i="7" s="1"/>
  <c r="R128" i="7"/>
  <c r="E22" i="2" l="1"/>
  <c r="D11" i="21" l="1"/>
  <c r="D19" i="21"/>
  <c r="D16" i="21"/>
  <c r="D8" i="21"/>
  <c r="D13" i="21"/>
  <c r="D17" i="21"/>
  <c r="D21" i="21"/>
  <c r="H28" i="10"/>
  <c r="D14" i="21"/>
  <c r="D18" i="21"/>
  <c r="D22" i="21"/>
  <c r="D11" i="22"/>
  <c r="D15" i="21"/>
  <c r="D23" i="21"/>
  <c r="D12" i="21"/>
  <c r="D20" i="21"/>
  <c r="H31" i="10"/>
  <c r="H18" i="10"/>
  <c r="H19" i="10" s="1"/>
  <c r="D26" i="22" l="1"/>
  <c r="H46" i="10"/>
  <c r="Q128" i="7" l="1"/>
  <c r="R133" i="7" l="1"/>
  <c r="P128" i="7"/>
  <c r="K179" i="7" l="1"/>
  <c r="K178" i="7"/>
  <c r="M178" i="7" s="1"/>
  <c r="K171" i="7"/>
  <c r="K172" i="7"/>
  <c r="M172" i="7" s="1"/>
  <c r="R130" i="7"/>
  <c r="K180" i="7" l="1"/>
  <c r="M179" i="7"/>
  <c r="M180" i="7" s="1"/>
  <c r="K174" i="7"/>
  <c r="M171" i="7"/>
  <c r="M174" i="7" s="1"/>
  <c r="H17" i="9" l="1"/>
  <c r="D18" i="31" l="1"/>
  <c r="D17" i="31"/>
  <c r="D16" i="31"/>
  <c r="D15" i="31"/>
  <c r="D11" i="31"/>
  <c r="D10" i="31"/>
  <c r="D9" i="31"/>
  <c r="D8" i="31"/>
  <c r="H49" i="9" l="1"/>
  <c r="H72" i="9" s="1"/>
  <c r="D12" i="31"/>
  <c r="D19" i="31"/>
  <c r="E24" i="9" l="1"/>
  <c r="I28" i="10" l="1"/>
  <c r="K33" i="10"/>
  <c r="L33" i="10" s="1"/>
  <c r="K34" i="10"/>
  <c r="L34" i="10" s="1"/>
  <c r="K35" i="10"/>
  <c r="L35" i="10" s="1"/>
  <c r="K36" i="10"/>
  <c r="L36" i="10" s="1"/>
  <c r="K37" i="10"/>
  <c r="L37" i="10" s="1"/>
  <c r="K38" i="10"/>
  <c r="L38" i="10" s="1"/>
  <c r="K39" i="10"/>
  <c r="L39" i="10" s="1"/>
  <c r="K40" i="10"/>
  <c r="L40" i="10" s="1"/>
  <c r="K41" i="10"/>
  <c r="L41" i="10" s="1"/>
  <c r="K42" i="10"/>
  <c r="L42" i="10" s="1"/>
  <c r="L43" i="10"/>
  <c r="K44" i="10"/>
  <c r="L44" i="10" s="1"/>
  <c r="E7" i="21" l="1"/>
  <c r="E25" i="21" s="1"/>
  <c r="K29" i="10"/>
  <c r="L29" i="10" s="1"/>
  <c r="L28" i="10" s="1"/>
  <c r="K32" i="10"/>
  <c r="I31" i="10"/>
  <c r="I46" i="10" l="1"/>
  <c r="D10" i="21"/>
  <c r="K28" i="10"/>
  <c r="K31" i="10"/>
  <c r="L32" i="10"/>
  <c r="L31" i="10" s="1"/>
  <c r="I50" i="10" l="1"/>
  <c r="I14" i="9" s="1"/>
  <c r="K46" i="10"/>
  <c r="L46" i="10"/>
  <c r="D11" i="19" l="1"/>
  <c r="D16" i="19" s="1"/>
  <c r="I10" i="10"/>
  <c r="D46" i="31"/>
  <c r="D75" i="31" s="1"/>
  <c r="D78" i="31" s="1"/>
  <c r="E24" i="8" l="1"/>
  <c r="D13" i="26" l="1"/>
  <c r="D11" i="26"/>
  <c r="I7" i="23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9" i="22"/>
  <c r="C14" i="26" l="1"/>
  <c r="C13" i="26"/>
  <c r="C12" i="26"/>
  <c r="C11" i="26"/>
  <c r="C10" i="26"/>
  <c r="C9" i="26"/>
  <c r="C8" i="26"/>
  <c r="C7" i="26"/>
  <c r="C19" i="25"/>
  <c r="B19" i="25"/>
  <c r="C17" i="25"/>
  <c r="B17" i="25"/>
  <c r="C16" i="25"/>
  <c r="B16" i="25"/>
  <c r="IF15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C7" i="25"/>
  <c r="B7" i="25"/>
  <c r="B4" i="24"/>
  <c r="B4" i="16" s="1"/>
  <c r="F45" i="23"/>
  <c r="E45" i="23"/>
  <c r="F44" i="23"/>
  <c r="E44" i="23"/>
  <c r="D43" i="23"/>
  <c r="C43" i="23"/>
  <c r="D28" i="22"/>
  <c r="C28" i="22"/>
  <c r="C5" i="22"/>
  <c r="B5" i="22"/>
  <c r="C25" i="21"/>
  <c r="D5" i="20"/>
  <c r="C5" i="20"/>
  <c r="C5" i="21" s="1"/>
  <c r="B5" i="19"/>
  <c r="B5" i="20" s="1"/>
  <c r="B5" i="21" s="1"/>
  <c r="B4" i="28" l="1"/>
  <c r="B4" i="17"/>
  <c r="B4" i="18"/>
  <c r="B4" i="19"/>
  <c r="B4" i="20" s="1"/>
  <c r="B4" i="21" s="1"/>
  <c r="E46" i="23"/>
  <c r="F46" i="23"/>
  <c r="F5" i="29"/>
  <c r="B4" i="25"/>
  <c r="B4" i="26"/>
  <c r="B4" i="27"/>
  <c r="B4" i="29" s="1"/>
  <c r="O128" i="7" l="1"/>
  <c r="N128" i="7"/>
  <c r="M128" i="7"/>
  <c r="L128" i="7"/>
  <c r="K128" i="7"/>
  <c r="J128" i="7"/>
  <c r="I128" i="7"/>
  <c r="H128" i="7"/>
  <c r="G128" i="7"/>
  <c r="F133" i="7" s="1"/>
  <c r="F128" i="7"/>
  <c r="F130" i="7" s="1"/>
  <c r="H130" i="7" l="1"/>
  <c r="L130" i="7"/>
  <c r="H133" i="7"/>
  <c r="L133" i="7"/>
  <c r="J130" i="7"/>
  <c r="N130" i="7"/>
  <c r="P130" i="7"/>
  <c r="J133" i="7"/>
  <c r="P133" i="7"/>
  <c r="N131" i="7" l="1"/>
  <c r="J147" i="7" l="1"/>
  <c r="G144" i="7"/>
  <c r="H144" i="7" s="1"/>
  <c r="I144" i="7" s="1"/>
  <c r="J144" i="7" s="1"/>
  <c r="J158" i="7"/>
  <c r="I157" i="7"/>
  <c r="J157" i="7" s="1"/>
  <c r="H145" i="7"/>
  <c r="I145" i="7" s="1"/>
  <c r="J145" i="7" s="1"/>
  <c r="G155" i="7"/>
  <c r="H155" i="7" s="1"/>
  <c r="I155" i="7" s="1"/>
  <c r="J155" i="7" s="1"/>
  <c r="H156" i="7"/>
  <c r="I156" i="7" s="1"/>
  <c r="J156" i="7" s="1"/>
  <c r="I146" i="7"/>
  <c r="J146" i="7" s="1"/>
  <c r="J160" i="7" l="1"/>
  <c r="J149" i="7"/>
  <c r="D12" i="20"/>
  <c r="D9" i="24" l="1"/>
  <c r="E66" i="9" l="1"/>
  <c r="E55" i="9"/>
  <c r="E40" i="9"/>
  <c r="E17" i="9"/>
  <c r="F11" i="9" s="1"/>
  <c r="F9" i="10" l="1"/>
  <c r="F11" i="10" s="1"/>
  <c r="F12" i="10" s="1"/>
  <c r="F13" i="9"/>
  <c r="F17" i="9"/>
  <c r="F19" i="9" s="1"/>
  <c r="E60" i="9"/>
  <c r="E67" i="9" s="1"/>
  <c r="E68" i="9" s="1"/>
  <c r="E69" i="9" s="1"/>
  <c r="E41" i="9"/>
  <c r="E19" i="9"/>
  <c r="E43" i="9" l="1"/>
  <c r="F40" i="9"/>
  <c r="F39" i="9"/>
  <c r="F38" i="9" s="1"/>
  <c r="F16" i="9"/>
  <c r="D10" i="19"/>
  <c r="D12" i="19" s="1"/>
  <c r="E33" i="9"/>
  <c r="I69" i="9"/>
  <c r="I13" i="9"/>
  <c r="D7" i="20"/>
  <c r="D17" i="20" s="1"/>
  <c r="E7" i="20" s="1"/>
  <c r="E17" i="20" s="1"/>
  <c r="F7" i="20" s="1"/>
  <c r="F17" i="20" s="1"/>
  <c r="G7" i="20" s="1"/>
  <c r="E16" i="9"/>
  <c r="E47" i="9"/>
  <c r="F46" i="9" s="1"/>
  <c r="D10" i="25" l="1"/>
  <c r="E34" i="9"/>
  <c r="F32" i="9"/>
  <c r="F41" i="9"/>
  <c r="C7" i="23"/>
  <c r="E61" i="9"/>
  <c r="F60" i="9" s="1"/>
  <c r="E49" i="9"/>
  <c r="E72" i="9" s="1"/>
  <c r="E48" i="9"/>
  <c r="E53" i="9" s="1"/>
  <c r="D8" i="19"/>
  <c r="D7" i="23"/>
  <c r="F33" i="9" l="1"/>
  <c r="F34" i="9" s="1"/>
  <c r="F43" i="9"/>
  <c r="F47" i="9"/>
  <c r="F42" i="9"/>
  <c r="F7" i="23"/>
  <c r="D17" i="19"/>
  <c r="D15" i="19"/>
  <c r="F31" i="4"/>
  <c r="F35" i="4" s="1"/>
  <c r="F37" i="4" s="1"/>
  <c r="F23" i="4"/>
  <c r="E56" i="9"/>
  <c r="E73" i="9"/>
  <c r="E62" i="9"/>
  <c r="D7" i="21"/>
  <c r="D25" i="21" s="1"/>
  <c r="I11" i="10"/>
  <c r="K9" i="10" s="1"/>
  <c r="C8" i="23" s="1"/>
  <c r="F8" i="23" s="1"/>
  <c r="H55" i="9"/>
  <c r="E15" i="19" l="1"/>
  <c r="K11" i="10"/>
  <c r="M9" i="10" s="1"/>
  <c r="F49" i="9"/>
  <c r="F72" i="9" s="1"/>
  <c r="F48" i="9"/>
  <c r="F61" i="9"/>
  <c r="I12" i="10"/>
  <c r="H14" i="10"/>
  <c r="H8" i="22"/>
  <c r="I26" i="9"/>
  <c r="I24" i="9"/>
  <c r="K22" i="9" s="1"/>
  <c r="H24" i="9"/>
  <c r="I17" i="9"/>
  <c r="H25" i="4"/>
  <c r="D25" i="2" s="1"/>
  <c r="D24" i="8"/>
  <c r="E20" i="8"/>
  <c r="E28" i="8" s="1"/>
  <c r="D20" i="8"/>
  <c r="D9" i="2"/>
  <c r="D81" i="7"/>
  <c r="D13" i="2"/>
  <c r="E16" i="7"/>
  <c r="D16" i="7"/>
  <c r="E9" i="7"/>
  <c r="D9" i="7"/>
  <c r="D21" i="2"/>
  <c r="K24" i="9" l="1"/>
  <c r="K12" i="10"/>
  <c r="K14" i="10" s="1"/>
  <c r="H8" i="23" s="1"/>
  <c r="K11" i="9"/>
  <c r="I17" i="10"/>
  <c r="K15" i="10" s="1"/>
  <c r="K25" i="9"/>
  <c r="K26" i="9" s="1"/>
  <c r="F73" i="9"/>
  <c r="F62" i="9"/>
  <c r="F56" i="9"/>
  <c r="F53" i="9"/>
  <c r="E24" i="7"/>
  <c r="D28" i="8"/>
  <c r="D32" i="8" s="1"/>
  <c r="H18" i="4" s="1"/>
  <c r="D18" i="2" s="1"/>
  <c r="E13" i="2"/>
  <c r="E32" i="8"/>
  <c r="I18" i="4" s="1"/>
  <c r="D83" i="7"/>
  <c r="H14" i="4" s="1"/>
  <c r="E23" i="7"/>
  <c r="F23" i="7"/>
  <c r="D23" i="7"/>
  <c r="E7" i="19" l="1"/>
  <c r="E10" i="19"/>
  <c r="E12" i="19" s="1"/>
  <c r="M22" i="9"/>
  <c r="M24" i="9" s="1"/>
  <c r="K17" i="10"/>
  <c r="M15" i="10" s="1"/>
  <c r="M25" i="9"/>
  <c r="L11" i="10"/>
  <c r="K13" i="9"/>
  <c r="K17" i="9"/>
  <c r="M11" i="9" s="1"/>
  <c r="D14" i="2"/>
  <c r="L48" i="10"/>
  <c r="H48" i="9"/>
  <c r="H56" i="9" s="1"/>
  <c r="H19" i="4" s="1"/>
  <c r="E18" i="2"/>
  <c r="H21" i="10"/>
  <c r="H15" i="4" s="1"/>
  <c r="H20" i="4"/>
  <c r="D20" i="2" s="1"/>
  <c r="M26" i="9" l="1"/>
  <c r="O25" i="9"/>
  <c r="O26" i="9" s="1"/>
  <c r="N24" i="9"/>
  <c r="O22" i="9"/>
  <c r="O24" i="9" s="1"/>
  <c r="C9" i="23"/>
  <c r="F10" i="19"/>
  <c r="F12" i="19" s="1"/>
  <c r="F7" i="19"/>
  <c r="M17" i="9"/>
  <c r="O11" i="9" s="1"/>
  <c r="M13" i="9"/>
  <c r="K19" i="9"/>
  <c r="K16" i="9" s="1"/>
  <c r="M11" i="10"/>
  <c r="O9" i="10" s="1"/>
  <c r="C10" i="23" s="1"/>
  <c r="L12" i="10"/>
  <c r="L14" i="10" s="1"/>
  <c r="K18" i="10"/>
  <c r="K19" i="10" s="1"/>
  <c r="L17" i="10"/>
  <c r="I13" i="10"/>
  <c r="H53" i="9"/>
  <c r="D19" i="2" s="1"/>
  <c r="D15" i="2"/>
  <c r="G7" i="19" l="1"/>
  <c r="G10" i="19"/>
  <c r="P24" i="9"/>
  <c r="Q24" i="9" s="1"/>
  <c r="N39" i="9"/>
  <c r="F9" i="23"/>
  <c r="M19" i="9"/>
  <c r="M12" i="10"/>
  <c r="M14" i="10" s="1"/>
  <c r="M17" i="10"/>
  <c r="O15" i="10" s="1"/>
  <c r="O17" i="10" s="1"/>
  <c r="O18" i="10" s="1"/>
  <c r="L18" i="10"/>
  <c r="L19" i="10" s="1"/>
  <c r="L21" i="10" s="1"/>
  <c r="K21" i="10"/>
  <c r="E10" i="24" s="1"/>
  <c r="E18" i="24" s="1"/>
  <c r="J8" i="23"/>
  <c r="K8" i="23" s="1"/>
  <c r="G7" i="23"/>
  <c r="I14" i="10"/>
  <c r="F10" i="24" l="1"/>
  <c r="F18" i="24" s="1"/>
  <c r="H9" i="23"/>
  <c r="M16" i="9"/>
  <c r="M18" i="10"/>
  <c r="M19" i="10" s="1"/>
  <c r="K71" i="9"/>
  <c r="E12" i="25" s="1"/>
  <c r="K15" i="4"/>
  <c r="D13" i="18" s="1"/>
  <c r="H7" i="23"/>
  <c r="M21" i="10" l="1"/>
  <c r="M15" i="4" s="1"/>
  <c r="J9" i="23"/>
  <c r="K9" i="23" s="1"/>
  <c r="G15" i="2"/>
  <c r="E42" i="9"/>
  <c r="M71" i="9" l="1"/>
  <c r="F12" i="25" s="1"/>
  <c r="I15" i="2"/>
  <c r="E13" i="18"/>
  <c r="E74" i="9"/>
  <c r="F70" i="9" s="1"/>
  <c r="F74" i="9" s="1"/>
  <c r="F75" i="9" s="1"/>
  <c r="Q21" i="10" l="1"/>
  <c r="P21" i="10"/>
  <c r="E75" i="9"/>
  <c r="I40" i="9"/>
  <c r="I66" i="9"/>
  <c r="D7" i="25" s="1"/>
  <c r="I41" i="9" l="1"/>
  <c r="I60" i="9"/>
  <c r="I47" i="9" l="1"/>
  <c r="K46" i="9" s="1"/>
  <c r="K40" i="9"/>
  <c r="K41" i="9" s="1"/>
  <c r="K33" i="9" s="1"/>
  <c r="I33" i="9"/>
  <c r="K32" i="9" s="1"/>
  <c r="I43" i="9"/>
  <c r="I42" i="9"/>
  <c r="I67" i="9"/>
  <c r="K47" i="9" l="1"/>
  <c r="E8" i="19"/>
  <c r="E17" i="19" s="1"/>
  <c r="I34" i="9"/>
  <c r="I49" i="9"/>
  <c r="I72" i="9" s="1"/>
  <c r="D13" i="25" s="1"/>
  <c r="K60" i="9"/>
  <c r="I61" i="9"/>
  <c r="I73" i="9" s="1"/>
  <c r="D14" i="25" s="1"/>
  <c r="I68" i="9"/>
  <c r="D8" i="25"/>
  <c r="H73" i="9"/>
  <c r="I48" i="9"/>
  <c r="D19" i="19" s="1"/>
  <c r="D23" i="19" s="1"/>
  <c r="M46" i="9" l="1"/>
  <c r="M40" i="9"/>
  <c r="M32" i="9"/>
  <c r="K48" i="9"/>
  <c r="E19" i="19" s="1"/>
  <c r="E23" i="19" s="1"/>
  <c r="K61" i="9"/>
  <c r="K43" i="9"/>
  <c r="K42" i="9"/>
  <c r="I53" i="9"/>
  <c r="I56" i="9"/>
  <c r="I62" i="9"/>
  <c r="D9" i="25"/>
  <c r="K66" i="9"/>
  <c r="E7" i="25" s="1"/>
  <c r="H74" i="9"/>
  <c r="F15" i="19" l="1"/>
  <c r="F8" i="19"/>
  <c r="F17" i="19" s="1"/>
  <c r="F19" i="19" s="1"/>
  <c r="F23" i="19" s="1"/>
  <c r="M41" i="9"/>
  <c r="O40" i="9" s="1"/>
  <c r="M60" i="9"/>
  <c r="M47" i="9"/>
  <c r="O46" i="9" s="1"/>
  <c r="K49" i="9"/>
  <c r="K62" i="9"/>
  <c r="K53" i="9"/>
  <c r="K56" i="9"/>
  <c r="K19" i="4" s="1"/>
  <c r="D17" i="18" s="1"/>
  <c r="K34" i="9"/>
  <c r="D25" i="19"/>
  <c r="D26" i="19" s="1"/>
  <c r="I19" i="4"/>
  <c r="H75" i="9"/>
  <c r="H77" i="9" s="1"/>
  <c r="D11" i="25"/>
  <c r="G15" i="19" l="1"/>
  <c r="G8" i="19"/>
  <c r="O60" i="9"/>
  <c r="O67" i="9" s="1"/>
  <c r="G8" i="25" s="1"/>
  <c r="M33" i="9"/>
  <c r="O32" i="9" s="1"/>
  <c r="M61" i="9"/>
  <c r="K72" i="9"/>
  <c r="E13" i="25" s="1"/>
  <c r="G19" i="2"/>
  <c r="L48" i="9"/>
  <c r="E19" i="2"/>
  <c r="K67" i="9"/>
  <c r="M43" i="9" l="1"/>
  <c r="K68" i="9"/>
  <c r="E8" i="25"/>
  <c r="D16" i="2"/>
  <c r="E9" i="25" l="1"/>
  <c r="M66" i="9"/>
  <c r="F7" i="25" s="1"/>
  <c r="M34" i="9"/>
  <c r="M42" i="9"/>
  <c r="M67" i="9"/>
  <c r="H12" i="11"/>
  <c r="H14" i="11" s="1"/>
  <c r="D17" i="2" s="1"/>
  <c r="N49" i="9" l="1"/>
  <c r="N74" i="9" s="1"/>
  <c r="N75" i="9" s="1"/>
  <c r="N34" i="9"/>
  <c r="M68" i="9"/>
  <c r="O66" i="9" s="1"/>
  <c r="F8" i="25"/>
  <c r="D64" i="17"/>
  <c r="O68" i="9" l="1"/>
  <c r="G9" i="25" s="1"/>
  <c r="G7" i="25"/>
  <c r="F9" i="25"/>
  <c r="D44" i="16"/>
  <c r="D53" i="17" l="1"/>
  <c r="P43" i="9" l="1"/>
  <c r="P61" i="9"/>
  <c r="Q60" i="9" s="1"/>
  <c r="D16" i="17"/>
  <c r="D27" i="17" s="1"/>
  <c r="D29" i="17" s="1"/>
  <c r="D31" i="17" s="1"/>
  <c r="D33" i="17" s="1"/>
  <c r="D40" i="17" s="1"/>
  <c r="P56" i="9" l="1"/>
  <c r="P53" i="9"/>
  <c r="P34" i="9"/>
  <c r="P62" i="9"/>
  <c r="P49" i="9"/>
  <c r="D66" i="17"/>
  <c r="D70" i="17" s="1"/>
  <c r="D23" i="16"/>
  <c r="Q49" i="9" l="1"/>
  <c r="Q43" i="9"/>
  <c r="Q34" i="9"/>
  <c r="I12" i="4"/>
  <c r="Q61" i="9" l="1"/>
  <c r="Q62" i="9" s="1"/>
  <c r="E12" i="2"/>
  <c r="Q53" i="9" l="1"/>
  <c r="Q56" i="9"/>
  <c r="H29" i="4"/>
  <c r="D12" i="2"/>
  <c r="H31" i="4" l="1"/>
  <c r="H35" i="4" s="1"/>
  <c r="H37" i="4" s="1"/>
  <c r="D29" i="2"/>
  <c r="H39" i="4" l="1"/>
  <c r="H40" i="4" s="1"/>
  <c r="I18" i="10" l="1"/>
  <c r="I19" i="10" s="1"/>
  <c r="I21" i="10" s="1"/>
  <c r="I71" i="9" s="1"/>
  <c r="K69" i="9" s="1"/>
  <c r="M69" i="9" s="1"/>
  <c r="O69" i="9" s="1"/>
  <c r="G10" i="25" s="1"/>
  <c r="F10" i="25" l="1"/>
  <c r="I74" i="9"/>
  <c r="K70" i="9" s="1"/>
  <c r="E11" i="25" s="1"/>
  <c r="I15" i="4"/>
  <c r="J7" i="23"/>
  <c r="K7" i="23" s="1"/>
  <c r="D10" i="24"/>
  <c r="K74" i="9" l="1"/>
  <c r="D12" i="25"/>
  <c r="I75" i="9"/>
  <c r="D15" i="25"/>
  <c r="E15" i="2"/>
  <c r="M70" i="9" l="1"/>
  <c r="F11" i="25" s="1"/>
  <c r="E10" i="25"/>
  <c r="L74" i="9"/>
  <c r="K75" i="9"/>
  <c r="E15" i="25"/>
  <c r="D16" i="25"/>
  <c r="L75" i="9" l="1"/>
  <c r="E16" i="25"/>
  <c r="O35" i="7"/>
  <c r="K16" i="4" l="1"/>
  <c r="D14" i="18" s="1"/>
  <c r="E19" i="25"/>
  <c r="I31" i="9"/>
  <c r="K29" i="9" s="1"/>
  <c r="K31" i="9" s="1"/>
  <c r="M29" i="9" s="1"/>
  <c r="K39" i="9" l="1"/>
  <c r="M37" i="9" s="1"/>
  <c r="G16" i="2"/>
  <c r="M86" i="9"/>
  <c r="I76" i="9" s="1"/>
  <c r="M31" i="9" l="1"/>
  <c r="O29" i="9" s="1"/>
  <c r="O31" i="9" s="1"/>
  <c r="D17" i="25"/>
  <c r="D19" i="25" s="1"/>
  <c r="M39" i="9" l="1"/>
  <c r="M38" i="9" s="1"/>
  <c r="I77" i="9"/>
  <c r="N37" i="9" l="1"/>
  <c r="I16" i="4"/>
  <c r="D18" i="24"/>
  <c r="I29" i="4"/>
  <c r="N38" i="9" l="1"/>
  <c r="E16" i="2"/>
  <c r="D24" i="27"/>
  <c r="D16" i="27"/>
  <c r="I11" i="11"/>
  <c r="D9" i="26" s="1"/>
  <c r="E29" i="2"/>
  <c r="D10" i="33"/>
  <c r="E80" i="7"/>
  <c r="Q37" i="7"/>
  <c r="E35" i="7"/>
  <c r="I9" i="4" s="1"/>
  <c r="Q32" i="7" l="1"/>
  <c r="E92" i="7"/>
  <c r="E37" i="7"/>
  <c r="D7" i="28"/>
  <c r="D18" i="32"/>
  <c r="D139" i="7"/>
  <c r="D13" i="33"/>
  <c r="D25" i="27"/>
  <c r="D27" i="27" s="1"/>
  <c r="E81" i="7"/>
  <c r="D8" i="28" s="1"/>
  <c r="Q38" i="7"/>
  <c r="I25" i="4"/>
  <c r="D9" i="28" l="1"/>
  <c r="E83" i="7"/>
  <c r="I14" i="4" s="1"/>
  <c r="H31" i="11"/>
  <c r="E9" i="2"/>
  <c r="E25" i="2"/>
  <c r="Q34" i="7"/>
  <c r="O165" i="7" s="1"/>
  <c r="F139" i="7"/>
  <c r="D138" i="7"/>
  <c r="D21" i="32"/>
  <c r="D23" i="32" s="1"/>
  <c r="D25" i="32" s="1"/>
  <c r="O163" i="7"/>
  <c r="P37" i="9" l="1"/>
  <c r="E107" i="7"/>
  <c r="I11" i="4"/>
  <c r="E58" i="7"/>
  <c r="Q33" i="7"/>
  <c r="E106" i="7" s="1"/>
  <c r="F138" i="7"/>
  <c r="F140" i="7" s="1"/>
  <c r="D140" i="7"/>
  <c r="H36" i="11"/>
  <c r="E14" i="2"/>
  <c r="P39" i="9" l="1"/>
  <c r="P38" i="9" s="1"/>
  <c r="I10" i="4"/>
  <c r="E57" i="7"/>
  <c r="E93" i="7" s="1"/>
  <c r="E94" i="7"/>
  <c r="O164" i="7"/>
  <c r="Q36" i="7"/>
  <c r="Q39" i="7" s="1"/>
  <c r="H33" i="11"/>
  <c r="I10" i="11" s="1"/>
  <c r="D8" i="26" s="1"/>
  <c r="E11" i="2"/>
  <c r="Q39" i="9" l="1"/>
  <c r="Q37" i="9"/>
  <c r="E96" i="7"/>
  <c r="N171" i="7"/>
  <c r="H32" i="11"/>
  <c r="H35" i="11" s="1"/>
  <c r="H38" i="11" s="1"/>
  <c r="I9" i="11" s="1"/>
  <c r="E10" i="2"/>
  <c r="E59" i="7"/>
  <c r="E62" i="7" s="1"/>
  <c r="Q38" i="9" l="1"/>
  <c r="N170" i="7"/>
  <c r="N172" i="7"/>
  <c r="D7" i="26"/>
  <c r="D10" i="26" s="1"/>
  <c r="I12" i="11"/>
  <c r="I14" i="11" s="1"/>
  <c r="O179" i="7"/>
  <c r="O178" i="7"/>
  <c r="O171" i="7"/>
  <c r="O170" i="7"/>
  <c r="O172" i="7"/>
  <c r="O173" i="7"/>
  <c r="N179" i="7"/>
  <c r="N173" i="7"/>
  <c r="N178" i="7"/>
  <c r="I16" i="11" l="1"/>
  <c r="D12" i="26"/>
  <c r="D14" i="26" s="1"/>
  <c r="N174" i="7"/>
  <c r="O174" i="7"/>
  <c r="N180" i="7"/>
  <c r="O180" i="7"/>
  <c r="O181" i="7" l="1"/>
  <c r="N181" i="7"/>
  <c r="I17" i="4"/>
  <c r="E17" i="2" l="1"/>
  <c r="I37" i="9" l="1"/>
  <c r="O33" i="7" l="1"/>
  <c r="O37" i="7"/>
  <c r="O32" i="7"/>
  <c r="O34" i="7" l="1"/>
  <c r="O36" i="7" s="1"/>
  <c r="O39" i="7" s="1"/>
  <c r="I19" i="9" l="1"/>
  <c r="I16" i="9" s="1"/>
  <c r="I39" i="9" l="1"/>
  <c r="I38" i="9" l="1"/>
  <c r="K37" i="9"/>
  <c r="K38" i="9" s="1"/>
  <c r="E185" i="7"/>
  <c r="F184" i="7" s="1"/>
  <c r="F186" i="7" s="1"/>
  <c r="F190" i="7" l="1"/>
  <c r="G107" i="7" s="1"/>
  <c r="I107" i="7" s="1"/>
  <c r="F189" i="7"/>
  <c r="G106" i="7" s="1"/>
  <c r="E184" i="7"/>
  <c r="E186" i="7" s="1"/>
  <c r="G110" i="7" l="1"/>
  <c r="M150" i="7"/>
  <c r="E187" i="7" s="1"/>
  <c r="E189" i="7" s="1"/>
  <c r="D106" i="7" s="1"/>
  <c r="I106" i="7" s="1"/>
  <c r="I110" i="7" s="1"/>
  <c r="M161" i="7"/>
  <c r="E188" i="7" s="1"/>
  <c r="E190" i="7" s="1"/>
  <c r="D107" i="7" s="1"/>
  <c r="F107" i="7" s="1"/>
  <c r="G20" i="2" l="1"/>
  <c r="F106" i="7"/>
  <c r="F108" i="7" l="1"/>
  <c r="F110" i="7"/>
  <c r="I20" i="4" l="1"/>
  <c r="E20" i="2" l="1"/>
  <c r="G20" i="4" l="1"/>
  <c r="G21" i="4" l="1"/>
  <c r="G23" i="4" s="1"/>
  <c r="G27" i="4" s="1"/>
  <c r="G31" i="4" s="1"/>
  <c r="G35" i="4" s="1"/>
  <c r="G37" i="4" s="1"/>
  <c r="G42" i="4" s="1"/>
  <c r="H48" i="4" s="1"/>
  <c r="H49" i="4" s="1"/>
  <c r="H51" i="4" s="1"/>
  <c r="H52" i="4" s="1"/>
  <c r="H54" i="4" s="1"/>
  <c r="I47" i="4" s="1"/>
  <c r="L23" i="4" l="1"/>
  <c r="L11" i="11" s="1"/>
  <c r="L12" i="11" s="1"/>
  <c r="L14" i="11" s="1"/>
  <c r="L16" i="11" s="1"/>
  <c r="M48" i="9"/>
  <c r="M53" i="9" s="1"/>
  <c r="M49" i="9"/>
  <c r="M62" i="9"/>
  <c r="M72" i="9" l="1"/>
  <c r="M56" i="9"/>
  <c r="M19" i="4" s="1"/>
  <c r="M12" i="11"/>
  <c r="M74" i="9" l="1"/>
  <c r="F13" i="25"/>
  <c r="I19" i="2"/>
  <c r="E17" i="18"/>
  <c r="M75" i="9"/>
  <c r="M77" i="9" s="1"/>
  <c r="M14" i="11"/>
  <c r="F10" i="26"/>
  <c r="F16" i="25" l="1"/>
  <c r="F15" i="25"/>
  <c r="M16" i="11"/>
  <c r="F12" i="26"/>
  <c r="M16" i="4" l="1"/>
  <c r="I16" i="2" s="1"/>
  <c r="F19" i="25"/>
  <c r="M17" i="4"/>
  <c r="F14" i="26"/>
  <c r="E14" i="18" l="1"/>
  <c r="I17" i="2"/>
  <c r="E15" i="18"/>
  <c r="Q77" i="9" l="1"/>
  <c r="P77" i="9"/>
  <c r="G186" i="7" l="1"/>
  <c r="G189" i="7" s="1"/>
  <c r="G190" i="7" l="1"/>
  <c r="J107" i="7" l="1"/>
  <c r="L107" i="7" s="1"/>
  <c r="J106" i="7"/>
  <c r="J110" i="7" s="1"/>
  <c r="L106" i="7" l="1"/>
  <c r="L110" i="7" s="1"/>
  <c r="M20" i="4" s="1"/>
  <c r="E18" i="18" s="1"/>
  <c r="P16" i="11"/>
  <c r="N16" i="11"/>
  <c r="Q16" i="11"/>
  <c r="E10" i="12"/>
  <c r="I20" i="2" l="1"/>
  <c r="E19" i="18"/>
  <c r="I21" i="2"/>
  <c r="I23" i="2" s="1"/>
  <c r="M23" i="4"/>
  <c r="M27" i="4" s="1"/>
  <c r="I27" i="2" l="1"/>
  <c r="D25" i="12"/>
  <c r="U22" i="4"/>
  <c r="I125" i="10" l="1"/>
  <c r="I120" i="10"/>
  <c r="I118" i="10"/>
  <c r="I121" i="10"/>
  <c r="I124" i="10"/>
  <c r="I117" i="10"/>
  <c r="I122" i="10"/>
  <c r="I112" i="10"/>
  <c r="I115" i="10"/>
  <c r="I119" i="10"/>
  <c r="I123" i="10"/>
  <c r="I116" i="10"/>
  <c r="I127" i="10"/>
  <c r="G11" i="27"/>
  <c r="G16" i="27" s="1"/>
  <c r="G25" i="27" s="1"/>
  <c r="G12" i="32"/>
  <c r="G7" i="33"/>
  <c r="G8" i="33"/>
  <c r="G9" i="33"/>
  <c r="G13" i="32"/>
  <c r="G8" i="32"/>
  <c r="G14" i="32"/>
  <c r="G15" i="32"/>
  <c r="G11" i="32"/>
  <c r="G9" i="32"/>
  <c r="G10" i="32"/>
  <c r="G17" i="32"/>
  <c r="G16" i="32"/>
  <c r="N126" i="9"/>
  <c r="M126" i="9" s="1"/>
  <c r="O76" i="9" s="1"/>
  <c r="G17" i="25" s="1"/>
  <c r="K32" i="7"/>
  <c r="K35" i="7" s="1"/>
  <c r="K122" i="10" l="1"/>
  <c r="F19" i="22"/>
  <c r="G18" i="21"/>
  <c r="G14" i="21"/>
  <c r="F15" i="22"/>
  <c r="K118" i="10"/>
  <c r="G19" i="21"/>
  <c r="K123" i="10"/>
  <c r="F20" i="22"/>
  <c r="G18" i="32"/>
  <c r="G13" i="21"/>
  <c r="K117" i="10"/>
  <c r="F14" i="22"/>
  <c r="F17" i="22"/>
  <c r="G16" i="21"/>
  <c r="K120" i="10"/>
  <c r="K36" i="7"/>
  <c r="K80" i="7"/>
  <c r="G10" i="33"/>
  <c r="K119" i="10"/>
  <c r="G15" i="21"/>
  <c r="F16" i="22"/>
  <c r="K124" i="10"/>
  <c r="G20" i="21"/>
  <c r="F21" i="22"/>
  <c r="K125" i="10"/>
  <c r="G21" i="21"/>
  <c r="F22" i="22"/>
  <c r="K37" i="7"/>
  <c r="O9" i="4"/>
  <c r="K92" i="7"/>
  <c r="K127" i="10"/>
  <c r="F24" i="22"/>
  <c r="G23" i="21"/>
  <c r="F12" i="22"/>
  <c r="I114" i="10"/>
  <c r="G10" i="21" s="1"/>
  <c r="K115" i="10"/>
  <c r="G11" i="21"/>
  <c r="F9" i="22"/>
  <c r="I111" i="10"/>
  <c r="K112" i="10"/>
  <c r="G8" i="21"/>
  <c r="G17" i="21"/>
  <c r="F18" i="22"/>
  <c r="K121" i="10"/>
  <c r="K60" i="7"/>
  <c r="K81" i="7"/>
  <c r="G8" i="28" s="1"/>
  <c r="G19" i="32"/>
  <c r="F13" i="22"/>
  <c r="K116" i="10"/>
  <c r="G12" i="21"/>
  <c r="O18" i="9"/>
  <c r="G7" i="21" l="1"/>
  <c r="G25" i="21" s="1"/>
  <c r="I129" i="10"/>
  <c r="I133" i="10" s="1"/>
  <c r="L127" i="10"/>
  <c r="H24" i="22" s="1"/>
  <c r="G24" i="22"/>
  <c r="G17" i="22"/>
  <c r="L120" i="10"/>
  <c r="H17" i="22" s="1"/>
  <c r="L123" i="10"/>
  <c r="H20" i="22" s="1"/>
  <c r="G20" i="22"/>
  <c r="G21" i="22"/>
  <c r="L124" i="10"/>
  <c r="H21" i="22" s="1"/>
  <c r="F7" i="18"/>
  <c r="P31" i="11"/>
  <c r="G15" i="22"/>
  <c r="L118" i="10"/>
  <c r="H15" i="22" s="1"/>
  <c r="G18" i="22"/>
  <c r="L121" i="10"/>
  <c r="H18" i="22" s="1"/>
  <c r="K114" i="10"/>
  <c r="L115" i="10"/>
  <c r="G12" i="22"/>
  <c r="G16" i="22"/>
  <c r="L119" i="10"/>
  <c r="H16" i="22" s="1"/>
  <c r="L117" i="10"/>
  <c r="H14" i="22" s="1"/>
  <c r="G14" i="22"/>
  <c r="F11" i="22"/>
  <c r="F26" i="22" s="1"/>
  <c r="G13" i="33"/>
  <c r="M139" i="7" s="1"/>
  <c r="I10" i="33"/>
  <c r="L116" i="10"/>
  <c r="H13" i="22" s="1"/>
  <c r="G13" i="22"/>
  <c r="L125" i="10"/>
  <c r="H22" i="22" s="1"/>
  <c r="G22" i="22"/>
  <c r="G7" i="28"/>
  <c r="G9" i="28" s="1"/>
  <c r="K83" i="7"/>
  <c r="O13" i="32"/>
  <c r="G21" i="32"/>
  <c r="M138" i="7" s="1"/>
  <c r="O138" i="7" s="1"/>
  <c r="K57" i="7"/>
  <c r="K93" i="7" s="1"/>
  <c r="O10" i="4"/>
  <c r="K111" i="10"/>
  <c r="K129" i="10" s="1"/>
  <c r="G9" i="22"/>
  <c r="L112" i="10"/>
  <c r="O14" i="4"/>
  <c r="G19" i="22"/>
  <c r="L122" i="10"/>
  <c r="H19" i="22" s="1"/>
  <c r="K41" i="8"/>
  <c r="O25" i="4" s="1"/>
  <c r="F24" i="18" s="1"/>
  <c r="O10" i="10"/>
  <c r="P32" i="11" l="1"/>
  <c r="F8" i="18"/>
  <c r="L93" i="7"/>
  <c r="N106" i="7"/>
  <c r="G11" i="22"/>
  <c r="G26" i="22" s="1"/>
  <c r="L114" i="10"/>
  <c r="H12" i="22"/>
  <c r="H11" i="22" s="1"/>
  <c r="H26" i="22" s="1"/>
  <c r="O139" i="7"/>
  <c r="M140" i="7"/>
  <c r="O14" i="9"/>
  <c r="D10" i="23"/>
  <c r="O11" i="10"/>
  <c r="P36" i="11"/>
  <c r="F12" i="18"/>
  <c r="I135" i="10"/>
  <c r="H9" i="22"/>
  <c r="L111" i="10"/>
  <c r="T22" i="9" l="1"/>
  <c r="T23" i="9" s="1"/>
  <c r="O41" i="9"/>
  <c r="O42" i="9" s="1"/>
  <c r="U26" i="9"/>
  <c r="S15" i="9"/>
  <c r="F10" i="23"/>
  <c r="H185" i="7"/>
  <c r="H186" i="7" s="1"/>
  <c r="O12" i="10"/>
  <c r="O23" i="10" s="1"/>
  <c r="L129" i="10"/>
  <c r="L131" i="10" s="1"/>
  <c r="O13" i="10" s="1"/>
  <c r="G12" i="20"/>
  <c r="G17" i="20" s="1"/>
  <c r="G9" i="24"/>
  <c r="G11" i="19"/>
  <c r="G16" i="19" s="1"/>
  <c r="O17" i="9"/>
  <c r="O47" i="9" s="1"/>
  <c r="O48" i="9" s="1"/>
  <c r="O140" i="7"/>
  <c r="O11" i="4"/>
  <c r="K58" i="7"/>
  <c r="H28" i="22"/>
  <c r="O43" i="9" l="1"/>
  <c r="P33" i="11"/>
  <c r="F9" i="18"/>
  <c r="P14" i="4"/>
  <c r="O19" i="10"/>
  <c r="J10" i="23" s="1"/>
  <c r="G10" i="23"/>
  <c r="O14" i="10"/>
  <c r="K59" i="7"/>
  <c r="K62" i="7" s="1"/>
  <c r="K94" i="7"/>
  <c r="H189" i="7"/>
  <c r="H190" i="7"/>
  <c r="G12" i="19"/>
  <c r="Q17" i="9"/>
  <c r="O19" i="9"/>
  <c r="O39" i="9" s="1"/>
  <c r="O33" i="9"/>
  <c r="O34" i="9" s="1"/>
  <c r="N107" i="7" l="1"/>
  <c r="N110" i="7" s="1"/>
  <c r="K96" i="7"/>
  <c r="O10" i="11"/>
  <c r="G8" i="26" s="1"/>
  <c r="P35" i="11"/>
  <c r="P38" i="11" s="1"/>
  <c r="O9" i="11" s="1"/>
  <c r="I187" i="7"/>
  <c r="M106" i="7"/>
  <c r="G17" i="19"/>
  <c r="G19" i="19" s="1"/>
  <c r="O49" i="9"/>
  <c r="O72" i="9" s="1"/>
  <c r="G13" i="25" s="1"/>
  <c r="G10" i="24"/>
  <c r="G18" i="24" s="1"/>
  <c r="H10" i="23"/>
  <c r="K10" i="23" s="1"/>
  <c r="O21" i="10"/>
  <c r="O61" i="9"/>
  <c r="O62" i="9" s="1"/>
  <c r="M107" i="7"/>
  <c r="I188" i="7"/>
  <c r="O38" i="9"/>
  <c r="O16" i="9"/>
  <c r="O107" i="7" l="1"/>
  <c r="R17" i="9"/>
  <c r="O106" i="7"/>
  <c r="O110" i="7" s="1"/>
  <c r="O20" i="4" s="1"/>
  <c r="F18" i="18" s="1"/>
  <c r="M110" i="7"/>
  <c r="G7" i="26"/>
  <c r="O12" i="11"/>
  <c r="O71" i="9"/>
  <c r="O15" i="4"/>
  <c r="O53" i="9"/>
  <c r="O56" i="9"/>
  <c r="R18" i="9" l="1"/>
  <c r="S22" i="9"/>
  <c r="S23" i="9" s="1"/>
  <c r="F13" i="18"/>
  <c r="G12" i="25"/>
  <c r="O74" i="9"/>
  <c r="G23" i="19"/>
  <c r="O19" i="4"/>
  <c r="F17" i="18" s="1"/>
  <c r="O14" i="11"/>
  <c r="G10" i="26"/>
  <c r="O16" i="11" l="1"/>
  <c r="G12" i="26"/>
  <c r="O75" i="9"/>
  <c r="G15" i="25"/>
  <c r="O77" i="9" l="1"/>
  <c r="G16" i="25"/>
  <c r="O17" i="4"/>
  <c r="F15" i="18" s="1"/>
  <c r="G14" i="26"/>
  <c r="O16" i="4" l="1"/>
  <c r="G19" i="25"/>
  <c r="F14" i="18" l="1"/>
  <c r="H10" i="4"/>
  <c r="H11" i="4"/>
  <c r="I21" i="4"/>
  <c r="K21" i="4"/>
  <c r="O21" i="4"/>
  <c r="H23" i="4"/>
  <c r="I23" i="4"/>
  <c r="K23" i="4"/>
  <c r="O23" i="4"/>
  <c r="I27" i="4"/>
  <c r="K27" i="4"/>
  <c r="O27" i="4"/>
  <c r="I31" i="4"/>
  <c r="K31" i="4"/>
  <c r="I35" i="4"/>
  <c r="I37" i="4"/>
  <c r="K37" i="4"/>
  <c r="L37" i="4"/>
  <c r="I39" i="4"/>
  <c r="K39" i="4"/>
  <c r="L39" i="4"/>
  <c r="I40" i="4"/>
  <c r="K40" i="4"/>
  <c r="L40" i="4"/>
  <c r="K47" i="4"/>
  <c r="L47" i="4"/>
  <c r="I48" i="4"/>
  <c r="I49" i="4"/>
  <c r="K49" i="4"/>
  <c r="L49" i="4"/>
  <c r="I51" i="4"/>
  <c r="K51" i="4"/>
  <c r="L51" i="4"/>
  <c r="I52" i="4"/>
  <c r="K52" i="4"/>
  <c r="L52" i="4"/>
  <c r="I54" i="4"/>
  <c r="K54" i="4"/>
  <c r="L54" i="4"/>
  <c r="I59" i="4"/>
  <c r="J59" i="4"/>
  <c r="H60" i="4"/>
  <c r="H61" i="4"/>
  <c r="I61" i="4"/>
  <c r="J61" i="4"/>
  <c r="H63" i="4"/>
  <c r="I63" i="4"/>
  <c r="J63" i="4"/>
  <c r="H64" i="4"/>
  <c r="I64" i="4"/>
  <c r="J64" i="4"/>
  <c r="D19" i="18"/>
  <c r="F19" i="18"/>
  <c r="D22" i="18"/>
  <c r="F22" i="18"/>
  <c r="D26" i="18"/>
  <c r="F26" i="18"/>
  <c r="D10" i="2"/>
  <c r="D11" i="2"/>
  <c r="E21" i="2"/>
  <c r="G21" i="2"/>
  <c r="D23" i="2"/>
  <c r="E23" i="2"/>
  <c r="G23" i="2"/>
  <c r="D27" i="2"/>
  <c r="E27" i="2"/>
  <c r="G27" i="2"/>
  <c r="D31" i="2"/>
  <c r="E31" i="2"/>
  <c r="G31" i="2"/>
  <c r="P33" i="7"/>
  <c r="P34" i="7"/>
  <c r="P36" i="7"/>
  <c r="P39" i="7"/>
  <c r="D57" i="7"/>
  <c r="D58" i="7"/>
  <c r="D59" i="7"/>
  <c r="D62" i="7"/>
  <c r="D93" i="7"/>
  <c r="D94" i="7"/>
  <c r="D96" i="7"/>
  <c r="D9" i="12"/>
  <c r="F9" i="12"/>
  <c r="D10" i="12"/>
  <c r="F10" i="12"/>
  <c r="D17" i="12"/>
  <c r="D18" i="12"/>
  <c r="D21" i="12"/>
  <c r="D26" i="12"/>
  <c r="D27" i="12"/>
  <c r="D30" i="12"/>
  <c r="E7" i="35"/>
  <c r="L7" i="35"/>
  <c r="E8" i="35"/>
  <c r="E13" i="35"/>
  <c r="F13" i="35"/>
  <c r="D14" i="35"/>
  <c r="D15" i="35"/>
  <c r="E15" i="35"/>
  <c r="F15" i="35"/>
  <c r="D17" i="35"/>
  <c r="E17" i="35"/>
  <c r="F17" i="35"/>
  <c r="D18" i="35"/>
  <c r="E18" i="35"/>
  <c r="F18" i="35"/>
  <c r="E24" i="35"/>
  <c r="E25" i="35"/>
  <c r="E28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Amrita Kaur</author>
    <author>tc={92A93C0F-637C-449B-9411-6A79CE2C65BD}</author>
    <author>Zuhaib Syed</author>
  </authors>
  <commentList>
    <comment ref="H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hard punched to match value with that in To</t>
        </r>
      </text>
    </comment>
    <comment ref="N27" authorId="1" shapeId="0" xr:uid="{92A93C0F-637C-449B-9411-6A79CE2C65BD}">
      <text>
        <t>[Threaded comment]
Your version of Excel allows you to read this threaded comment; however, any edits to it will get removed if the file is opened in a newer version of Excel. Learn more: https://go.microsoft.com/fwlink/?linkid=870924
Comment:
    Para 8.10 Page 258 CSERC Tariff Order 2021-22</t>
      </text>
    </comment>
    <comment ref="I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Opening surplus adjusted as per TO 260318</t>
        </r>
      </text>
    </comment>
    <comment ref="K3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As on 10.09.2019 SBI base rate 8.95%</t>
        </r>
      </text>
    </comment>
    <comment ref="F4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Page 162/311 of TO 2019-20</t>
        </r>
      </text>
    </comment>
    <comment ref="H60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Zuhaib Syed:</t>
        </r>
        <r>
          <rPr>
            <sz val="9"/>
            <color indexed="81"/>
            <rFont val="Tahoma"/>
            <family val="2"/>
          </rPr>
          <t xml:space="preserve">
AFC for FY 2019-20 as approved in MYT order dated 30.04.2016 &amp; later on revised vide tariff order dated 28.02.2019-Actual ARR determined based on Final True-up for FY 2019-20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Amrita Kaur</author>
    <author>tc={A84E1D8F-0DE9-4B4A-8C8B-D0978269228B}</author>
  </authors>
  <commentList>
    <comment ref="E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as per additional data provided</t>
        </r>
      </text>
    </comment>
    <comment ref="H184" authorId="1" shapeId="0" xr:uid="{A84E1D8F-0DE9-4B4A-8C8B-D0978269228B}">
      <text>
        <t>[Threaded comment]
Your version of Excel allows you to read this threaded comment; however, any edits to it will get removed if the file is opened in a newer version of Excel. Learn more: https://go.microsoft.com/fwlink/?linkid=870924
Comment:
    Table 4.11 Pg 128 Tariff Order FY 2022-23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tc={0CFA4AE8-1106-4F9D-9D18-A2403B64C376}</author>
    <author>Amrita Kaur</author>
    <author>tc={55F21A74-7630-4EBD-B66E-C6EE868402E6}</author>
  </authors>
  <commentList>
    <comment ref="O70" authorId="0" shapeId="0" xr:uid="{0CFA4AE8-1106-4F9D-9D18-A2403B64C376}">
      <text>
        <t>[Threaded comment]
Your version of Excel allows you to read this threaded comment; however, any edits to it will get removed if the file is opened in a newer version of Excel. Learn more: https://go.microsoft.com/fwlink/?linkid=870924
Comment:
    Order</t>
      </text>
    </comment>
    <comment ref="H71" authorId="1" shapeId="0" xr:uid="{00000000-0006-0000-0500-000001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Mismatch in TO with depreciation computation</t>
        </r>
      </text>
    </comment>
    <comment ref="M77" authorId="2" shapeId="0" xr:uid="{55F21A74-7630-4EBD-B66E-C6EE868402E6}">
      <text>
        <t>[Threaded comment]
Your version of Excel allows you to read this threaded comment; however, any edits to it will get removed if the file is opened in a newer version of Excel. Learn more: https://go.microsoft.com/fwlink/?linkid=870924
Comment:
    IOL + Bank Charges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tc={799867EE-35B4-4933-B3F9-0CB92A5887CD}</author>
    <author>Amrita Kaur</author>
  </authors>
  <commentList>
    <comment ref="O10" authorId="0" shapeId="0" xr:uid="{799867EE-35B4-4933-B3F9-0CB92A5887CD}">
      <text>
        <t>[Threaded comment]
Your version of Excel allows you to read this threaded comment; however, any edits to it will get removed if the file is opened in a newer version of Excel. Learn more: https://go.microsoft.com/fwlink/?linkid=870924
Comment:
    ACE of ₹ 0.09 in SLDC deducted from the capitalization</t>
      </text>
    </comment>
    <comment ref="I20" authorId="1" shapeId="0" xr:uid="{00000000-0006-0000-0600-000001000000}">
      <text>
        <r>
          <rPr>
            <b/>
            <sz val="9"/>
            <color indexed="81"/>
            <rFont val="Tahoma"/>
            <family val="2"/>
          </rPr>
          <t>Amrita Kaur:</t>
        </r>
        <r>
          <rPr>
            <sz val="9"/>
            <color indexed="81"/>
            <rFont val="Tahoma"/>
            <family val="2"/>
          </rPr>
          <t xml:space="preserve">
as per separate exce sheet provided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tc={71268B72-40DE-428E-BBD1-1731508ECC43}</author>
    <author>Zuhaib Syed</author>
  </authors>
  <commentList>
    <comment ref="E5" authorId="0" shapeId="0" xr:uid="{71268B72-40DE-428E-BBD1-1731508ECC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Order dated 2.8.2021</t>
      </text>
    </comment>
    <comment ref="E23" authorId="1" shapeId="0" xr:uid="{C45E1B7A-7D47-4456-9C72-423EC8BF86D7}">
      <text>
        <r>
          <rPr>
            <b/>
            <sz val="9"/>
            <color indexed="81"/>
            <rFont val="Tahoma"/>
            <family val="2"/>
          </rPr>
          <t>Zuhaib Syed:</t>
        </r>
        <r>
          <rPr>
            <sz val="9"/>
            <color indexed="81"/>
            <rFont val="Tahoma"/>
            <family val="2"/>
          </rPr>
          <t xml:space="preserve">
tariff order dated 13.4.22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tc={7BE223A4-7B92-4747-9648-4E591620E5D6}</author>
  </authors>
  <commentList>
    <comment ref="I11" authorId="0" shapeId="0" xr:uid="{7BE223A4-7B92-4747-9648-4E591620E5D6}">
      <text>
        <t>[Threaded comment]
Your version of Excel allows you to read this threaded comment; however, any edits to it will get removed if the file is opened in a newer version of Excel. Learn more: https://go.microsoft.com/fwlink/?linkid=870924
Comment:
    5.29 which accounts for sum of import of data of transformers and import data of GS feeder's import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tc={F0990DB6-A02B-49FB-B2D1-2800C2674516}</author>
    <author>tc={22B1A823-2661-4D5E-AF65-F490880ABAAF}</author>
    <author>tc={F2F7007B-6AAA-4876-8644-D524A40A22DF}</author>
    <author>tc={2E9422E3-F597-45CB-9414-E2CA6941EC54}</author>
    <author>tc={8BE2A0BF-3ADB-4F43-88F2-8E88B0814C00}</author>
    <author>tc={33B3FCAF-10F7-4D13-A256-1429FA4EBD8E}</author>
  </authors>
  <commentList>
    <comment ref="M12" authorId="0" shapeId="0" xr:uid="{F0990DB6-A02B-49FB-B2D1-2800C2674516}">
      <text>
        <t>[Threaded comment]
Your version of Excel allows you to read this threaded comment; however, any edits to it will get removed if the file is opened in a newer version of Excel. Learn more: https://go.microsoft.com/fwlink/?linkid=870924
Comment:
    Deducted CSR+Penalty</t>
      </text>
    </comment>
    <comment ref="F15" authorId="1" shapeId="0" xr:uid="{22B1A823-2661-4D5E-AF65-F490880ABAAF}">
      <text>
        <t>[Threaded comment]
Your version of Excel allows you to read this threaded comment; however, any edits to it will get removed if the file is opened in a newer version of Excel. Learn more: https://go.microsoft.com/fwlink/?linkid=870924
Comment:
    Deducted CSR+Penalty</t>
      </text>
    </comment>
    <comment ref="G15" authorId="2" shapeId="0" xr:uid="{F2F7007B-6AAA-4876-8644-D524A40A22DF}">
      <text>
        <t>[Threaded comment]
Your version of Excel allows you to read this threaded comment; however, any edits to it will get removed if the file is opened in a newer version of Excel. Learn more: https://go.microsoft.com/fwlink/?linkid=870924
Comment:
    deducted penalty+csr</t>
      </text>
    </comment>
    <comment ref="L15" authorId="3" shapeId="0" xr:uid="{2E9422E3-F597-45CB-9414-E2CA6941EC54}">
      <text>
        <t>[Threaded comment]
Your version of Excel allows you to read this threaded comment; however, any edits to it will get removed if the file is opened in a newer version of Excel. Learn more: https://go.microsoft.com/fwlink/?linkid=870924
Comment:
    Deducted CSR+Penalty</t>
      </text>
    </comment>
    <comment ref="F18" authorId="4" shapeId="0" xr:uid="{8BE2A0BF-3ADB-4F43-88F2-8E88B0814C00}">
      <text>
        <t>[Threaded comment]
Your version of Excel allows you to read this threaded comment; however, any edits to it will get removed if the file is opened in a newer version of Excel. Learn more: https://go.microsoft.com/fwlink/?linkid=870924
Comment:
    deducted shortage of inventory</t>
      </text>
    </comment>
    <comment ref="G18" authorId="5" shapeId="0" xr:uid="{33B3FCAF-10F7-4D13-A256-1429FA4EBD8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Shortage of Inventory deducted</t>
      </text>
    </comment>
  </commentList>
</comments>
</file>

<file path=xl/sharedStrings.xml><?xml version="1.0" encoding="utf-8"?>
<sst xmlns="http://schemas.openxmlformats.org/spreadsheetml/2006/main" count="1570" uniqueCount="812">
  <si>
    <t>Index</t>
  </si>
  <si>
    <t>Sr. No</t>
  </si>
  <si>
    <t>Particulars</t>
  </si>
  <si>
    <t>Sheet</t>
  </si>
  <si>
    <t>Aggregate Revenue Requirement - Rs Crores</t>
  </si>
  <si>
    <t>F1</t>
  </si>
  <si>
    <t>Aggregate Revenue Requirement - Paisa/kWh</t>
  </si>
  <si>
    <t>F2</t>
  </si>
  <si>
    <t>O&amp;M Expenses</t>
  </si>
  <si>
    <t>F3</t>
  </si>
  <si>
    <t>Transmission Income, Prior Period (Income)/Expenses &amp; Non Tariff Income</t>
  </si>
  <si>
    <t>F4</t>
  </si>
  <si>
    <t>Capital Restructuring</t>
  </si>
  <si>
    <t>F5</t>
  </si>
  <si>
    <t>Depreciation</t>
  </si>
  <si>
    <t>F6</t>
  </si>
  <si>
    <t>Interest on Working Capital</t>
  </si>
  <si>
    <t>F7</t>
  </si>
  <si>
    <t>Transmission System Availability and STOA charges for FY 2019-20</t>
  </si>
  <si>
    <t>F8</t>
  </si>
  <si>
    <t>Rs. Crores</t>
  </si>
  <si>
    <t>Aggregate Revenue Requirement - True up of FY 2018-19</t>
  </si>
  <si>
    <t>FY 2014-15</t>
  </si>
  <si>
    <t>FY 2015-16</t>
  </si>
  <si>
    <t>FY 2016-17</t>
  </si>
  <si>
    <t>FY 2017-18</t>
  </si>
  <si>
    <t>FY 2018-19</t>
  </si>
  <si>
    <t>FY 2019-20</t>
  </si>
  <si>
    <t>FY 2020-21</t>
  </si>
  <si>
    <t>FY 2021-22</t>
  </si>
  <si>
    <t>True-up Order Dated 30.04.2016</t>
  </si>
  <si>
    <t>True-up Order Dated 31.03.2017</t>
  </si>
  <si>
    <t>True-up Order dt. 28.02.2019</t>
  </si>
  <si>
    <t>Submission based on audited accounts</t>
  </si>
  <si>
    <t>MYT Order Dated 30.04.2016</t>
  </si>
  <si>
    <t>True Up based on Final Accounts</t>
  </si>
  <si>
    <t>MYT Order dated 30.4.2016 further revised vide Order dated 30.5.2020</t>
  </si>
  <si>
    <t>Tariff Order dated 2.8.2021</t>
  </si>
  <si>
    <t>Employee Expenses</t>
  </si>
  <si>
    <t>A&amp;G Expenses</t>
  </si>
  <si>
    <t>R&amp;M Expenses</t>
  </si>
  <si>
    <t>Terminal Benefits</t>
  </si>
  <si>
    <t>Interim Wage Relief</t>
  </si>
  <si>
    <t>Less: Capitalization of Emp, R&amp;M and A&amp;G Expenses</t>
  </si>
  <si>
    <t>Interest on Loan</t>
  </si>
  <si>
    <t>Interest on Working capital</t>
  </si>
  <si>
    <t>Prior Period (Income) / Expenses</t>
  </si>
  <si>
    <t>Return on Equity</t>
  </si>
  <si>
    <t>Gain/(Loss) on Sharing O&amp;M Efficiency</t>
  </si>
  <si>
    <t>Incentive on Transmission Availability</t>
  </si>
  <si>
    <t>Current Tax</t>
  </si>
  <si>
    <t>Total Gross Aggregate Revenue Requirement</t>
  </si>
  <si>
    <t>Less: Non Tariff Income</t>
  </si>
  <si>
    <t>Total Net Aggregate Revenue Requirement</t>
  </si>
  <si>
    <t>Revenue from Operations</t>
  </si>
  <si>
    <t>Standalone Surplus / (Deficit)</t>
  </si>
  <si>
    <t>Adjustment of true-up of FY 2017-18</t>
  </si>
  <si>
    <t>Opening Surplus/(Deficit)</t>
  </si>
  <si>
    <t>Adjustment made in current tariff</t>
  </si>
  <si>
    <t>Closing Surplus/(Deficit)</t>
  </si>
  <si>
    <t>Interest Rate (%)</t>
  </si>
  <si>
    <t>SBI base rate as on 10.09.2019 - 8.95%</t>
  </si>
  <si>
    <t>Holding/ Carrying cost for the year</t>
  </si>
  <si>
    <t>Total Closing Surplus/(Deficit)</t>
  </si>
  <si>
    <t>Already adjusted</t>
  </si>
  <si>
    <t>Surplus/(Deficit) to be adjusted</t>
  </si>
  <si>
    <t>FY 17-18</t>
  </si>
  <si>
    <t>FY 18-19</t>
  </si>
  <si>
    <t>FY 19-20</t>
  </si>
  <si>
    <t>FY 20-21</t>
  </si>
  <si>
    <t>Opening Surplus</t>
  </si>
  <si>
    <t>Stand-alone Surplus</t>
  </si>
  <si>
    <t>Closing Surplus</t>
  </si>
  <si>
    <t>Interest rate</t>
  </si>
  <si>
    <t>Carrying Cost</t>
  </si>
  <si>
    <t>Total Closing Surplus</t>
  </si>
  <si>
    <t>Past adjustment already carried out</t>
  </si>
  <si>
    <t>Final Closing Surplus</t>
  </si>
  <si>
    <t>S.No.</t>
  </si>
  <si>
    <t>FY 21-22</t>
  </si>
  <si>
    <t>Paisa/kWh</t>
  </si>
  <si>
    <t>Annual Revenue Requirement - True up of FY 2018-19</t>
  </si>
  <si>
    <t>Employee Expense</t>
  </si>
  <si>
    <t>A&amp;G expenses</t>
  </si>
  <si>
    <t>Incentive/Penalty on O&amp;M</t>
  </si>
  <si>
    <t>Incentive/Penalty on Transmission Availability</t>
  </si>
  <si>
    <t>Total Gross Annual Revenue Requirement</t>
  </si>
  <si>
    <t>Total Net Annual Revenue Requirement</t>
  </si>
  <si>
    <t>Actual Energy Input to Discom (MUs)</t>
  </si>
  <si>
    <t>No. of Employees as on 31st March 2020</t>
  </si>
  <si>
    <t>Sanctioned</t>
  </si>
  <si>
    <t>Working</t>
  </si>
  <si>
    <t>Vacant</t>
  </si>
  <si>
    <t>CSPTCL</t>
  </si>
  <si>
    <t>Class I</t>
  </si>
  <si>
    <t>Class II</t>
  </si>
  <si>
    <t>Class III</t>
  </si>
  <si>
    <t>Class IV</t>
  </si>
  <si>
    <t>Total</t>
  </si>
  <si>
    <t>SLDC</t>
  </si>
  <si>
    <t>CSPTCL+SLDC</t>
  </si>
  <si>
    <t>Rs Crores</t>
  </si>
  <si>
    <t>Based on final accounts</t>
  </si>
  <si>
    <t>MYT order dt. 30.04.2016</t>
  </si>
  <si>
    <t>Final True-up</t>
  </si>
  <si>
    <t>Gross Employee Expenses (CSPTCL+SLDC) excluding provision of Interim Wage Relief and exc. terminal benefits</t>
  </si>
  <si>
    <t>Gross Employee Expenses</t>
  </si>
  <si>
    <t>Less: SLDC Employee Expenses</t>
  </si>
  <si>
    <t>Gross A&amp;G Expenses</t>
  </si>
  <si>
    <t>Less: Interim Wage Relief part included in Salary - CSPTCL, if any</t>
  </si>
  <si>
    <t>Gross R&amp;M Expenses</t>
  </si>
  <si>
    <t>CSPTCL Employee Expenses</t>
  </si>
  <si>
    <t>Interim Wage Relief amount</t>
  </si>
  <si>
    <t>Less: Employee Cost Capitalized</t>
  </si>
  <si>
    <t>Gross O&amp;M Expenses (excluding SLDC)</t>
  </si>
  <si>
    <t>Net Employee Expenses</t>
  </si>
  <si>
    <t>Employee expenses capitalized</t>
  </si>
  <si>
    <t>A&amp;G Expenses capitalized</t>
  </si>
  <si>
    <t>Net O&amp;M Expenses (excluding CSLDC)</t>
  </si>
  <si>
    <t>Provision for Interim Wage Relief</t>
  </si>
  <si>
    <t>Interim Wage Relief (CSPTCL+SLDC)</t>
  </si>
  <si>
    <t>Less: Interim Wage Relief (SLDC)</t>
  </si>
  <si>
    <t>Interim Wage Relief (CSPTCL)</t>
  </si>
  <si>
    <t>R&amp;M and A&amp;G Expenses</t>
  </si>
  <si>
    <t>TO Order Dated 28.02.2019</t>
  </si>
  <si>
    <t>TO Order Dated 30.05.2020</t>
  </si>
  <si>
    <t>TO Order Dated 2.8.2021</t>
  </si>
  <si>
    <t>CSPTCL R&amp;M and A&amp;G Expenses</t>
  </si>
  <si>
    <t>Less: R&amp;M and A&amp;G Cost Capitalized</t>
  </si>
  <si>
    <t>Net R&amp;M and A&amp;G Expenses</t>
  </si>
  <si>
    <t>Terminal Benefits (Pension &amp; Gratuity)</t>
  </si>
  <si>
    <t>TO Order Dated 30.5.2020</t>
  </si>
  <si>
    <t>Terminal Benefits (CSPTCL)</t>
  </si>
  <si>
    <t>Capitalization of Expenses</t>
  </si>
  <si>
    <t>Gross O&amp;M Expenses CSPTCL Prior to Capitalization</t>
  </si>
  <si>
    <t>Order dated 2.8.2021</t>
  </si>
  <si>
    <t>Sharing of Gains &amp; Losses</t>
  </si>
  <si>
    <t>Normative value</t>
  </si>
  <si>
    <t>Sharing of gains/(losses)</t>
  </si>
  <si>
    <t>Net A&amp;G expenses (net of capitalisation)</t>
  </si>
  <si>
    <t>Net R&amp;M expenses (net of capitalisation)</t>
  </si>
  <si>
    <t>Total Gain/(Loss)</t>
  </si>
  <si>
    <t>CSPTCL Share (1/2 of Total Gain/(Loss))</t>
  </si>
  <si>
    <t>From 2011-12 series</t>
  </si>
  <si>
    <t xml:space="preserve">Inflation Index </t>
  </si>
  <si>
    <t>Month</t>
  </si>
  <si>
    <t>FY 2009-10</t>
  </si>
  <si>
    <t>FY 2010-11</t>
  </si>
  <si>
    <t>FY 2011-12</t>
  </si>
  <si>
    <t>FY 2012-13</t>
  </si>
  <si>
    <t>FY 2013-14</t>
  </si>
  <si>
    <t>CPI</t>
  </si>
  <si>
    <t>WPI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</si>
  <si>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</si>
  <si>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</si>
  <si>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</si>
  <si>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</si>
  <si>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</si>
  <si>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</si>
  <si>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</si>
  <si>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</si>
  <si>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</si>
  <si>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</si>
  <si>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</si>
  <si>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</si>
  <si>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Avg</t>
  </si>
  <si>
    <t>Inflation for Employee Expenses for 3rd Control Period based on CPI</t>
  </si>
  <si>
    <t>Average Normalization</t>
  </si>
  <si>
    <t>Inflation for R&amp;M and A&amp;G Expenses based on WPI</t>
  </si>
  <si>
    <t>CSPTCL + CSLDC</t>
  </si>
  <si>
    <t>CSLDC</t>
  </si>
  <si>
    <t>Administrative and General (A&amp;G) Expenses</t>
  </si>
  <si>
    <t>Base year expense FY 2015-16</t>
  </si>
  <si>
    <t>FY 09</t>
  </si>
  <si>
    <t>FY 10</t>
  </si>
  <si>
    <t>FY 11</t>
  </si>
  <si>
    <t>FY 12</t>
  </si>
  <si>
    <t>FY 13</t>
  </si>
  <si>
    <t>FY 14</t>
  </si>
  <si>
    <t>FY 15</t>
  </si>
  <si>
    <t>FY 16</t>
  </si>
  <si>
    <t>FY 17</t>
  </si>
  <si>
    <t>FY 18</t>
  </si>
  <si>
    <t>FY 19</t>
  </si>
  <si>
    <t>FY 20</t>
  </si>
  <si>
    <t>FY 21</t>
  </si>
  <si>
    <t>FY 22</t>
  </si>
  <si>
    <t>Base FY 11</t>
  </si>
  <si>
    <t>Base FY 12</t>
  </si>
  <si>
    <t>Base FY 13</t>
  </si>
  <si>
    <t>Base FY 14</t>
  </si>
  <si>
    <t>Base FY 15</t>
  </si>
  <si>
    <t>Normalized Administrative and General Expenses</t>
  </si>
  <si>
    <t>Normative Administrative and General Expenses</t>
  </si>
  <si>
    <t>Repair and Maintenance (R&amp;M) Expenses</t>
  </si>
  <si>
    <t>Normalized Repair and Maintenance Expenses</t>
  </si>
  <si>
    <t>Normative Repair and Maintenance Expenses</t>
  </si>
  <si>
    <t>Employee</t>
  </si>
  <si>
    <t>Additional normative O&amp;M</t>
  </si>
  <si>
    <t>A&amp;G</t>
  </si>
  <si>
    <t>R&amp;M</t>
  </si>
  <si>
    <t>Addition in FY 2015-16</t>
  </si>
  <si>
    <t>Addition in FY 2016-17</t>
  </si>
  <si>
    <t>Total No. of Substations</t>
  </si>
  <si>
    <t>Addition of bays in FY 2015-16</t>
  </si>
  <si>
    <t>Addition of bays in FY 2016-17</t>
  </si>
  <si>
    <t>Normative O&amp;M of bays in FY 2015-16</t>
  </si>
  <si>
    <t>Norms of O&amp;M of bays in FY 2015-16</t>
  </si>
  <si>
    <t>Normative O&amp;M applicable of assets capitalized in FY 2015-16</t>
  </si>
  <si>
    <t>Normative O&amp;M applicable of assets capitalized in FY 2016-17</t>
  </si>
  <si>
    <t>Total Additional Normative O&amp;M applicable in FY 2016-17</t>
  </si>
  <si>
    <t>Total Additional Normative A&amp;G applicable in FY 2016-17</t>
  </si>
  <si>
    <t>Total Additional Normative R&amp;M applicable in FY 2016-17</t>
  </si>
  <si>
    <t xml:space="preserve">400 kV </t>
  </si>
  <si>
    <t xml:space="preserve">220 kV </t>
  </si>
  <si>
    <t xml:space="preserve">132 kV </t>
  </si>
  <si>
    <t xml:space="preserve">+/- 200 KV HVDC </t>
  </si>
  <si>
    <t>Total  No. of Substations</t>
  </si>
  <si>
    <t>Addition of lines in FY 2015-16</t>
  </si>
  <si>
    <t>Addition of lines in FY 2016-17</t>
  </si>
  <si>
    <t>Normative O&amp;M of lines in FY 2015-16 (in lakhs)</t>
  </si>
  <si>
    <t>Norms of O&amp;M of lines in FY 2015-16</t>
  </si>
  <si>
    <t>Single Circuit Single Conductor</t>
  </si>
  <si>
    <t>Single Circuit Double Conductor</t>
  </si>
  <si>
    <t>Total Lines</t>
  </si>
  <si>
    <t>Total Normative Costs</t>
  </si>
  <si>
    <t>BASED on COMMISSION'S APPROACH</t>
  </si>
  <si>
    <t xml:space="preserve">Average of opening and closing GFA </t>
  </si>
  <si>
    <t>A</t>
  </si>
  <si>
    <t>B</t>
  </si>
  <si>
    <t>Increase in GFA (%)</t>
  </si>
  <si>
    <t>C= (B-A)/A*100</t>
  </si>
  <si>
    <t xml:space="preserve">Normative A&amp;G Expenses arrived </t>
  </si>
  <si>
    <t>D</t>
  </si>
  <si>
    <t xml:space="preserve">Normative R&amp;M Expenses arrived </t>
  </si>
  <si>
    <t>E</t>
  </si>
  <si>
    <t>Additional A&amp;G Expenses on account of increase in GFA</t>
  </si>
  <si>
    <t>F = D * C</t>
  </si>
  <si>
    <t xml:space="preserve">Additional R&amp;M Expenses on account of increase in GFA </t>
  </si>
  <si>
    <t>G = E * C</t>
  </si>
  <si>
    <t>Average of opening and closing GFA for FY 2018-19 inclusive of assets created out of consumer contribution</t>
  </si>
  <si>
    <t>Average of opening and closing GFA for FY 2019-20 inclusive of assets created out of consumer contribution</t>
  </si>
  <si>
    <t>Normative A&amp;G Expenses arrived at for FY 2019-20</t>
  </si>
  <si>
    <t>Normative R&amp;M Expenses arrived at for FY 2019-20</t>
  </si>
  <si>
    <t xml:space="preserve">Additional A&amp;G Expenses on account of increase in GFA for 
FY 2019-20
</t>
  </si>
  <si>
    <t xml:space="preserve">Additional R&amp;M Expenses on account of increase in GFA for 
FY 2019-20
</t>
  </si>
  <si>
    <t>Asset Created Deposit Work in FY 2021-22</t>
  </si>
  <si>
    <t>Transmission Income</t>
  </si>
  <si>
    <t>CSPTCL Income from Operations</t>
  </si>
  <si>
    <t>a</t>
  </si>
  <si>
    <t>CSPDCL/LTOA/MTOA</t>
  </si>
  <si>
    <t>b</t>
  </si>
  <si>
    <t>Others/STOA</t>
  </si>
  <si>
    <t>Prior Period (Income)/Expense</t>
  </si>
  <si>
    <t>Prior Period (Income)</t>
  </si>
  <si>
    <t>Other Income related to previous year</t>
  </si>
  <si>
    <t>Prior Period Expense</t>
  </si>
  <si>
    <t>Employee Costs</t>
  </si>
  <si>
    <t>Other Charges</t>
  </si>
  <si>
    <t>Total Prior Period (Income)/Expense</t>
  </si>
  <si>
    <t>Less: SLDC Share</t>
  </si>
  <si>
    <t>CSPTCL Prior Period (Income)/Expense</t>
  </si>
  <si>
    <t>Non- Tariff Income</t>
  </si>
  <si>
    <t>Non-Tariff Income</t>
  </si>
  <si>
    <t xml:space="preserve">Capital Restructuring </t>
  </si>
  <si>
    <t>Submission based on final accounts</t>
  </si>
  <si>
    <t>Capital Expenditure &amp; Gross Fixed Assets</t>
  </si>
  <si>
    <t>Opening GFA excluding CSLDC</t>
  </si>
  <si>
    <t>Opening CWIP</t>
  </si>
  <si>
    <t>Opening Capex</t>
  </si>
  <si>
    <t>Capitalisation during the Year</t>
  </si>
  <si>
    <t>% of Equity in Capitalisation (as per CIP Approved)</t>
  </si>
  <si>
    <t>Capex during the FY</t>
  </si>
  <si>
    <t>Closing GFA excluding CSLDC</t>
  </si>
  <si>
    <t>Closing CWIP</t>
  </si>
  <si>
    <t>Closing Capex</t>
  </si>
  <si>
    <t>Consumer Contribution &amp; Grants</t>
  </si>
  <si>
    <t>Opening Grant and Contribution</t>
  </si>
  <si>
    <t>Addition of Consumer Contribution/Grants in GFA during the FY</t>
  </si>
  <si>
    <t>Closing Consumer Contribution</t>
  </si>
  <si>
    <t>Consumer Contribution in Opening GFA</t>
  </si>
  <si>
    <t>Consumer Contribution in Closing GFA</t>
  </si>
  <si>
    <t>Borrowed Loan</t>
  </si>
  <si>
    <t>Opening Borrowed Loan</t>
  </si>
  <si>
    <t>Loan Borrowed during the Year</t>
  </si>
  <si>
    <t>Closing Borrowed Loan</t>
  </si>
  <si>
    <t>Borrowed Loan in Opening GFA</t>
  </si>
  <si>
    <t>Borrowed Loan in Closing GFA</t>
  </si>
  <si>
    <t>Loan addition during the year</t>
  </si>
  <si>
    <t>Equity</t>
  </si>
  <si>
    <t>Opening Gross Equity</t>
  </si>
  <si>
    <t>Equity addition during the Year</t>
  </si>
  <si>
    <t>Closing Gross Equity</t>
  </si>
  <si>
    <t>Gross Equity in Opening GFA</t>
  </si>
  <si>
    <t>Gross Equity in Closing GFA</t>
  </si>
  <si>
    <t>Average Gross Equity during the year</t>
  </si>
  <si>
    <t>Addition in Equity</t>
  </si>
  <si>
    <t>Permissible Equity</t>
  </si>
  <si>
    <t>Permissible Equity in Opening GFA</t>
  </si>
  <si>
    <t>Permissible Equity in Closing GFA</t>
  </si>
  <si>
    <t>Average Gross Permissible Equity during the year</t>
  </si>
  <si>
    <t>Rate of Return on Equity</t>
  </si>
  <si>
    <t>Return on Equity Excluding Tax</t>
  </si>
  <si>
    <t>Income Tax - MAT (%)</t>
  </si>
  <si>
    <t>Gross up Rate (%)</t>
  </si>
  <si>
    <t>Return on Equity Including Tax</t>
  </si>
  <si>
    <t>Normative Loan</t>
  </si>
  <si>
    <t>Opening Normative Loan</t>
  </si>
  <si>
    <t>Closing Normative Loan</t>
  </si>
  <si>
    <t>Average Normative Loan</t>
  </si>
  <si>
    <t>Total Opening Gross Loan</t>
  </si>
  <si>
    <t>Repayment till previous year</t>
  </si>
  <si>
    <t>Total Opening Net Loan</t>
  </si>
  <si>
    <t>Repayment during the period</t>
  </si>
  <si>
    <t xml:space="preserve">Additional Capitalization of Borrowed Loan during the year </t>
  </si>
  <si>
    <t>Addition/(Reduction) in Normative Loan during the year</t>
  </si>
  <si>
    <t>Total Closing Net Loan</t>
  </si>
  <si>
    <t>Average Loan during the year</t>
  </si>
  <si>
    <t>Weighted Average Interest Rate</t>
  </si>
  <si>
    <t>Interest Expense for the Period</t>
  </si>
  <si>
    <t>Loan Details for FY 2018-19</t>
  </si>
  <si>
    <t>Opening Loan</t>
  </si>
  <si>
    <t>Addition</t>
  </si>
  <si>
    <t>Repayment</t>
  </si>
  <si>
    <t>Closing</t>
  </si>
  <si>
    <t>Average</t>
  </si>
  <si>
    <t>RoI</t>
  </si>
  <si>
    <t>Interest</t>
  </si>
  <si>
    <t>PFC</t>
  </si>
  <si>
    <t>NABARD</t>
  </si>
  <si>
    <t>State Government Loan</t>
  </si>
  <si>
    <t>REC</t>
  </si>
  <si>
    <t>Loan Details for FY 2019-20</t>
  </si>
  <si>
    <t>SBI</t>
  </si>
  <si>
    <t>Loan Details for FY 2020-21</t>
  </si>
  <si>
    <t>Loan Details for FY 2021-22</t>
  </si>
  <si>
    <t>BOM</t>
  </si>
  <si>
    <t>SBI Loan</t>
  </si>
  <si>
    <t>Add: Additional capitalization during the year</t>
  </si>
  <si>
    <t>Average GFA for the year</t>
  </si>
  <si>
    <t>Depreciation Rate</t>
  </si>
  <si>
    <t>Depreciation @ rates as per applicable Regulation</t>
  </si>
  <si>
    <t>Opening consumer contribution</t>
  </si>
  <si>
    <t>Addition: consumer contribution during the year</t>
  </si>
  <si>
    <t xml:space="preserve">Closing consumer contribution </t>
  </si>
  <si>
    <t>Average consumer contribution</t>
  </si>
  <si>
    <t>Less: Depreciation on consumer contribution on live assets</t>
  </si>
  <si>
    <t>Less: Depreciation on fully depreciated Assets</t>
  </si>
  <si>
    <t>Net Depreciation</t>
  </si>
  <si>
    <t>GFA (CSPTCL+CSLDC)</t>
  </si>
  <si>
    <t>Depreciation Rates (%)</t>
  </si>
  <si>
    <t>Average GFA</t>
  </si>
  <si>
    <t xml:space="preserve">Depreciation </t>
  </si>
  <si>
    <t>Tangible Assets (Under Lease)</t>
  </si>
  <si>
    <t>Leasehold Land (including land development  cost)</t>
  </si>
  <si>
    <t xml:space="preserve">Tangible Assets </t>
  </si>
  <si>
    <t>Land (including land development cost)</t>
  </si>
  <si>
    <t>Factory Buildings</t>
  </si>
  <si>
    <t>Office Buildings</t>
  </si>
  <si>
    <t>Residential &amp; Other Buidlings</t>
  </si>
  <si>
    <t>Hydraulic Works</t>
  </si>
  <si>
    <t>Roads &amp; Others</t>
  </si>
  <si>
    <t>Plant, Machinery &amp; Equipments</t>
  </si>
  <si>
    <t>Lines &amp; Cable Networks</t>
  </si>
  <si>
    <t>Furniture and Fixtures</t>
  </si>
  <si>
    <t>Office Equipments</t>
  </si>
  <si>
    <t>Vehicles</t>
  </si>
  <si>
    <t>Others</t>
  </si>
  <si>
    <t>Computer (Hardware, Software &amp; Peripherals)</t>
  </si>
  <si>
    <t>C</t>
  </si>
  <si>
    <t>Weighted Average Rate of Depreciation (%)</t>
  </si>
  <si>
    <t>GFA Addition</t>
  </si>
  <si>
    <t>O&amp;M</t>
  </si>
  <si>
    <t>Maintenance Spares</t>
  </si>
  <si>
    <t>Receivables</t>
  </si>
  <si>
    <t>Total WC requirement</t>
  </si>
  <si>
    <t>Less: Int on SD from Trans. Users</t>
  </si>
  <si>
    <t xml:space="preserve">Gross Interest on Working Capital </t>
  </si>
  <si>
    <t>Rate of Interest on WC (%)</t>
  </si>
  <si>
    <t>Net Interest on Working Capital</t>
  </si>
  <si>
    <t>Norms</t>
  </si>
  <si>
    <t>MYT regulation 2021</t>
  </si>
  <si>
    <t>O&amp;M Expenses (In Months)</t>
  </si>
  <si>
    <t>15 days</t>
  </si>
  <si>
    <t>Maintenance Spares - 40% of R&amp;M</t>
  </si>
  <si>
    <t>Maintenance Spares - 20% of M&amp;G</t>
  </si>
  <si>
    <t>Receivables (In Months)</t>
  </si>
  <si>
    <t>Rate of Interest</t>
  </si>
  <si>
    <t>SBI base rate as on 1st April 2018 i.e. 8.70% + 3.5%</t>
  </si>
  <si>
    <t>(SBI MCLR-one year tenor) on 30th Sept +200 points</t>
  </si>
  <si>
    <t>O&amp;M Expenses for IWC</t>
  </si>
  <si>
    <t xml:space="preserve">   FY 2018-19</t>
  </si>
  <si>
    <t>Actual Employee Expenses</t>
  </si>
  <si>
    <t>Actual A&amp;G expenses</t>
  </si>
  <si>
    <t>Actual R&amp;M Expenses</t>
  </si>
  <si>
    <t>Outsourcing payments</t>
  </si>
  <si>
    <t>Gross O&amp;M Expenses</t>
  </si>
  <si>
    <t>Less: Capitalization</t>
  </si>
  <si>
    <t>Add: Interim Wage Relief</t>
  </si>
  <si>
    <t>Net O&amp;M Expenses</t>
  </si>
  <si>
    <t>Transmission System Availability</t>
  </si>
  <si>
    <t>Annual Transmission System Availability</t>
  </si>
  <si>
    <t>Target Availability</t>
  </si>
  <si>
    <t>Max availability that can be claimed for incentive</t>
  </si>
  <si>
    <t>Incentive/(Penalty) to be claimed</t>
  </si>
  <si>
    <t>Sharing of gain/(loss) (50%)</t>
  </si>
  <si>
    <t>Proposed STOA Charges for FY 2020-21</t>
  </si>
  <si>
    <t>ARR approved in Tariff Order dated 30.04.2016 (Rs. Crores)</t>
  </si>
  <si>
    <r>
      <t xml:space="preserve">Add: Surplus with carrying cost till FY 2020-21 </t>
    </r>
    <r>
      <rPr>
        <sz val="10"/>
        <color rgb="FF000000"/>
        <rFont val="Cambria"/>
        <family val="1"/>
      </rPr>
      <t>(Rs. Crores)</t>
    </r>
  </si>
  <si>
    <r>
      <t xml:space="preserve">Total ARR for FY 2020-21 </t>
    </r>
    <r>
      <rPr>
        <sz val="10"/>
        <color rgb="FF000000"/>
        <rFont val="Cambria"/>
        <family val="1"/>
      </rPr>
      <t>(Rs. Crores)</t>
    </r>
  </si>
  <si>
    <t>Max Demand Projected in MW</t>
  </si>
  <si>
    <t>&lt;&lt;21.07.2019&gt;&gt;</t>
  </si>
  <si>
    <t>Energy Input in MU considering 70% Load Factor</t>
  </si>
  <si>
    <t>STOA Charges in Paisa/Kwh</t>
  </si>
  <si>
    <t>Proposed STOA Charges for FY 2021-22</t>
  </si>
  <si>
    <t>ARR proposed for FY 2021-22</t>
  </si>
  <si>
    <t>Less: surplus with holding cost till FY 2019-20 (Rs. Crores)</t>
  </si>
  <si>
    <t>Adjusted ARR for FY 2021-22(Rs. Crores)</t>
  </si>
  <si>
    <t>Proposed STOA Charges for FY 2022-23</t>
  </si>
  <si>
    <t>FY 2022-23</t>
  </si>
  <si>
    <t>AFC approved for FY 2021-22 vide Order dated 2.8.2021</t>
  </si>
  <si>
    <t>Surplus adjusted</t>
  </si>
  <si>
    <t xml:space="preserve">Surplus </t>
  </si>
  <si>
    <t>Revenue from Transmission Charges for FY 2021-22</t>
  </si>
  <si>
    <t>Actual ARR determined based on Final True-up for FY 2021-22</t>
  </si>
  <si>
    <t>ARR Determined after true up for FY 2021-22</t>
  </si>
  <si>
    <t>Surplus/(Deficit) in Rs. Crores (1-4)</t>
  </si>
  <si>
    <t>Particular</t>
  </si>
  <si>
    <t>FY 2023-24</t>
  </si>
  <si>
    <t>Opening Deficit</t>
  </si>
  <si>
    <t>Standalone Deficit</t>
  </si>
  <si>
    <t>Closing Deficit</t>
  </si>
  <si>
    <t>Interest Rate</t>
  </si>
  <si>
    <t>ARR proposed for FY 2023-24</t>
  </si>
  <si>
    <t>Plus: Defecit</t>
  </si>
  <si>
    <r>
      <t>Adjusted ARR for FY 202-</t>
    </r>
    <r>
      <rPr>
        <b/>
        <sz val="10"/>
        <color rgb="FF000000"/>
        <rFont val="Cambria"/>
        <family val="1"/>
      </rPr>
      <t>(Rs. Crores)</t>
    </r>
  </si>
  <si>
    <t>`</t>
  </si>
  <si>
    <t>Source:</t>
  </si>
  <si>
    <t>http://labourbureaunew.gov.in/All_India_gp_subgp_indices_Dec_2016.pdf</t>
  </si>
  <si>
    <t>http://labourbureaunew.gov.in/All_India_gp_subgp_indices_Aug2017.pdf</t>
  </si>
  <si>
    <t>WPI Data:</t>
  </si>
  <si>
    <t>http://eaindustry.nic.in/display_data_201112.asp</t>
  </si>
  <si>
    <t>http://eaindustry.nic.in/download_data_0405.asp</t>
  </si>
  <si>
    <t>SBI Base Rate</t>
  </si>
  <si>
    <t>https://www.sbi.co.in/portal/web/interest-rates/base-rate-historical-data</t>
  </si>
  <si>
    <t>Annexure-I</t>
  </si>
  <si>
    <t>INDEX OF REGULATORY COMPLIANCE FORMATS FOR ARR &amp; TARIFF FILING BY TRANSMISSION COMPANIES</t>
  </si>
  <si>
    <t xml:space="preserve">Form No.
</t>
  </si>
  <si>
    <t xml:space="preserve">Tariff Filing Formats (Transmission)
</t>
  </si>
  <si>
    <t>T S1</t>
  </si>
  <si>
    <t>Profit &amp; Loss Account</t>
  </si>
  <si>
    <t>T S2</t>
  </si>
  <si>
    <t>Balance Sheet</t>
  </si>
  <si>
    <t>T S3</t>
  </si>
  <si>
    <t>Cash Flow Statement</t>
  </si>
  <si>
    <t xml:space="preserve">FORM- 1
</t>
  </si>
  <si>
    <t>ARR</t>
  </si>
  <si>
    <t>FORM-2</t>
  </si>
  <si>
    <t>Calculation of Return on Equity</t>
  </si>
  <si>
    <t xml:space="preserve">FORM-3 
</t>
  </si>
  <si>
    <t xml:space="preserve">Statement of Capital Cost 
</t>
  </si>
  <si>
    <t xml:space="preserve">FORM- 4
</t>
  </si>
  <si>
    <t>Details of Gross Fixed Assets</t>
  </si>
  <si>
    <t xml:space="preserve">FORM- 5A
</t>
  </si>
  <si>
    <t xml:space="preserve">Calculation of Weighted AverageDepreciation Rate
</t>
  </si>
  <si>
    <t xml:space="preserve">FORM- 5B
</t>
  </si>
  <si>
    <t>Computation of Depreciation</t>
  </si>
  <si>
    <t xml:space="preserve">FORM- 6
</t>
  </si>
  <si>
    <t xml:space="preserve">Statement of Depreciation
</t>
  </si>
  <si>
    <t xml:space="preserve">FORM- 7
</t>
  </si>
  <si>
    <t xml:space="preserve">Calculation of Interest on Normative Loan
</t>
  </si>
  <si>
    <t xml:space="preserve">FORM- 8
</t>
  </si>
  <si>
    <t xml:space="preserve">FORM- 9
</t>
  </si>
  <si>
    <t>Income from Investment and other non-tariff Income</t>
  </si>
  <si>
    <t xml:space="preserve">FORM- 10
</t>
  </si>
  <si>
    <t>Details of Expenses Capitalised</t>
  </si>
  <si>
    <t>FORM- 11</t>
  </si>
  <si>
    <t>Energy Balance Statement for Transmission System</t>
  </si>
  <si>
    <t>FORM- 12</t>
  </si>
  <si>
    <t>Employee Cost and provisions</t>
  </si>
  <si>
    <t>FORM- 13</t>
  </si>
  <si>
    <t>FORM- 14</t>
  </si>
  <si>
    <t>S-2</t>
  </si>
  <si>
    <t>Balance Sheet (Rs Crores)</t>
  </si>
  <si>
    <t>I.</t>
  </si>
  <si>
    <t>Equity and Liability</t>
  </si>
  <si>
    <t>A)</t>
  </si>
  <si>
    <t>Shareholders’ Funds</t>
  </si>
  <si>
    <t>a) Share Capital</t>
  </si>
  <si>
    <t>b) Reserves and Surplus</t>
  </si>
  <si>
    <t>c) Share Application Money Pending Allottment</t>
  </si>
  <si>
    <t>B)</t>
  </si>
  <si>
    <t>Non Current Liabilites</t>
  </si>
  <si>
    <t>a) Long-term borrowings</t>
  </si>
  <si>
    <t>b) Deferred Tax Liabilities (Net)</t>
  </si>
  <si>
    <t>b) Other Long Term Borrowings</t>
  </si>
  <si>
    <t>c) Long-term provisions</t>
  </si>
  <si>
    <t>C)</t>
  </si>
  <si>
    <t>Current Liabilites</t>
  </si>
  <si>
    <t>a) Short-term borrowings</t>
  </si>
  <si>
    <t>b) Trade payables</t>
  </si>
  <si>
    <t>c) Other Current Liabilities</t>
  </si>
  <si>
    <t>d) Short-Term Provisions</t>
  </si>
  <si>
    <t>TOTAL EQUITY AND LIABILITY</t>
  </si>
  <si>
    <t>II.</t>
  </si>
  <si>
    <t>Assets</t>
  </si>
  <si>
    <t>Non Current Assets</t>
  </si>
  <si>
    <t>a) Fixed Assets</t>
  </si>
  <si>
    <t xml:space="preserve"> Tangible Assets</t>
  </si>
  <si>
    <t xml:space="preserve"> Intangible Assets</t>
  </si>
  <si>
    <t xml:space="preserve"> Capital Work in Progress</t>
  </si>
  <si>
    <t xml:space="preserve"> Intangible assets under development</t>
  </si>
  <si>
    <t>b) Non-Current Investments</t>
  </si>
  <si>
    <t>c) Deferred tax assets (Net)</t>
  </si>
  <si>
    <t>d) Long-term Loans and Advances</t>
  </si>
  <si>
    <t>e) Other Non-Current Assets</t>
  </si>
  <si>
    <t>Current Assets</t>
  </si>
  <si>
    <t>a) Current investment</t>
  </si>
  <si>
    <t>b)  Inventories</t>
  </si>
  <si>
    <t>c) Trade receivables</t>
  </si>
  <si>
    <t>d) Cash and Bank Balances</t>
  </si>
  <si>
    <t>e) Short-term Loans and Advances</t>
  </si>
  <si>
    <t>f) Other Current Assets</t>
  </si>
  <si>
    <t>TOTAL ASSETS</t>
  </si>
  <si>
    <t>S-3</t>
  </si>
  <si>
    <t>Cash Flow Statement (Rs Crores)</t>
  </si>
  <si>
    <t>Cash flow arising from Operating Activities</t>
  </si>
  <si>
    <t xml:space="preserve">Net Profit before Tax and Exceptional items  as per </t>
  </si>
  <si>
    <t>Statement of Profit and Loss:</t>
  </si>
  <si>
    <t>Add / (Deduct) :</t>
  </si>
  <si>
    <t>Depreciation and Amortisation expenses</t>
  </si>
  <si>
    <t>Interest Income</t>
  </si>
  <si>
    <t>Profit on sale of mutual fund</t>
  </si>
  <si>
    <t>Interest Expenses</t>
  </si>
  <si>
    <t>Operating cash profit before working capital changes</t>
  </si>
  <si>
    <t xml:space="preserve">Increase / (Decrease) in Short Term Borrowing </t>
  </si>
  <si>
    <t>Increase / (Decrease) in Trade Payables</t>
  </si>
  <si>
    <t>Increase / (Decrease) in Other Current Liabilities</t>
  </si>
  <si>
    <t>Increase / (Decrease) in Short Term Provisions</t>
  </si>
  <si>
    <t>(Increase) / Decrease in Inventories</t>
  </si>
  <si>
    <t>(Increase) / Decrease in Trade Receivable</t>
  </si>
  <si>
    <t>(Increase) / Decrease in Short Term Loans &amp; Advances</t>
  </si>
  <si>
    <t>(Increase) / Decrease in Other Current Assets</t>
  </si>
  <si>
    <t>Cash generated from operations</t>
  </si>
  <si>
    <t>Direct Taxes</t>
  </si>
  <si>
    <t>Net Cash Flow before Exceptional Items</t>
  </si>
  <si>
    <t>Add: Exceptional Items</t>
  </si>
  <si>
    <t>Cash flow before prior period adjustments</t>
  </si>
  <si>
    <t>Add: Prior Period Income/( Expense)</t>
  </si>
  <si>
    <t>Cash flow after prior period adjustments</t>
  </si>
  <si>
    <t>(Increase) / Decrease in Long Term Loans &amp; Advances</t>
  </si>
  <si>
    <t>Increase / (Decrease) in Other Long term Liabilities</t>
  </si>
  <si>
    <t>Increase / (Decrease) in Other Long term Provisions</t>
  </si>
  <si>
    <t>(Increase) / Decrease in Other Non Current Assets</t>
  </si>
  <si>
    <t>Net Cash Inflow/(outflow) in the course of operating activities after exceptional items and after adjustment of Other Non Current Assets &amp; Liabilities</t>
  </si>
  <si>
    <t>Cash flow arising from Investing Activities</t>
  </si>
  <si>
    <t>Inflow:</t>
  </si>
  <si>
    <t>Outflow:</t>
  </si>
  <si>
    <t xml:space="preserve">Acquisition of fixed assets </t>
  </si>
  <si>
    <t>Net (Increase) / Decrease in Capital WIP</t>
  </si>
  <si>
    <t>Net (Increase)/Decrease in short term investment</t>
  </si>
  <si>
    <t>Net (Increase) / Decrease in Fixed Deposits</t>
  </si>
  <si>
    <t>Net Cash inflow/ (Outflow) in the course of Investing Activities</t>
  </si>
  <si>
    <t>Cash flow arising from Financing Activities</t>
  </si>
  <si>
    <t>Inflow :</t>
  </si>
  <si>
    <t>Increase / (Decrease) in Other Long term Borrowings</t>
  </si>
  <si>
    <t>Increase/(Decrease) in Capital Reserve</t>
  </si>
  <si>
    <t>Increase/(Decrease) in SLDC Development Fund</t>
  </si>
  <si>
    <t>Outflow :</t>
  </si>
  <si>
    <t>Interest Paid</t>
  </si>
  <si>
    <t>Net Cash from Financing Activities</t>
  </si>
  <si>
    <t>Net increase in Cash and Cash Equivalents ( A+B+C)</t>
  </si>
  <si>
    <t>Cash &amp; Cash Equivalents ( Opening )</t>
  </si>
  <si>
    <t>Cash &amp; Cash Equivalents ( Closing )</t>
  </si>
  <si>
    <t>F-1</t>
  </si>
  <si>
    <t>Aggregate Revenue Requirement (Rs. Crores)</t>
  </si>
  <si>
    <t>Less: Refund of Income Tax ( Principal Amount)</t>
  </si>
  <si>
    <t>Aggregate Revenue Requirement</t>
  </si>
  <si>
    <t>Calculation of Return on Equity (Rs Crores)</t>
  </si>
  <si>
    <t>Normative Equity Capital</t>
  </si>
  <si>
    <t>GFA as on 01-04-18</t>
  </si>
  <si>
    <t>Normative Equity Capital for assets till 1.04.2018</t>
  </si>
  <si>
    <t>GFA Opening Balance (After 1.04.2018)</t>
  </si>
  <si>
    <t>Additions to GFA</t>
  </si>
  <si>
    <t>Closing GFA</t>
  </si>
  <si>
    <t>Normative Equity for assets acquired after 01-04-2018</t>
  </si>
  <si>
    <t>Opening Balance</t>
  </si>
  <si>
    <t xml:space="preserve"> Additions during the year</t>
  </si>
  <si>
    <t>c</t>
  </si>
  <si>
    <t xml:space="preserve"> Closing balance</t>
  </si>
  <si>
    <t>Notional Equity for Computation of AFC</t>
  </si>
  <si>
    <t>Return on Equity (Pre-tax %)</t>
  </si>
  <si>
    <t>FORM-3</t>
  </si>
  <si>
    <t>Statement of Capital Cost (Rs. Crores)</t>
  </si>
  <si>
    <t>a) Opening Gross Block Amount as per books</t>
  </si>
  <si>
    <t>b) Amount of capital liabilities in A(a) above</t>
  </si>
  <si>
    <t>c) Amount of IDC, FC, FERV &amp; Hedging cost included in A(a) above</t>
  </si>
  <si>
    <t>d) Amount of IEDC (excluding IDC, FC, FERV &amp; Hedging cost) included in A(a) above</t>
  </si>
  <si>
    <t>a) Addition in Gross Block Amount during the period</t>
  </si>
  <si>
    <t>b) Amount of capital liabilities in B(a) above</t>
  </si>
  <si>
    <t>c) Amount of IDC, FC, FERV &amp; Hedging cost included in B(a) above</t>
  </si>
  <si>
    <t>d) Amount of IEDC (excluding IDC, FC, FERV &amp; Hedging cost) included in B(a)  above</t>
  </si>
  <si>
    <t>a) Closing Gross Block Amount as per books</t>
  </si>
  <si>
    <t>b) Amount of capital liabilities in C(a) above</t>
  </si>
  <si>
    <t>c) Amount of IDC, FC, FERV &amp; Hedging cost included in C(a) above</t>
  </si>
  <si>
    <t>d) Amount of IEDC (excluding IDC, FC, FERV &amp; Hedging cost) included in C(a) above</t>
  </si>
  <si>
    <t>Note:</t>
  </si>
  <si>
    <t>GFA is as per the accounts</t>
  </si>
  <si>
    <t>GFA is net of assets addition on account of SLDC</t>
  </si>
  <si>
    <t xml:space="preserve">GFA addition for FY 2021-22 is as per the accounts </t>
  </si>
  <si>
    <t>Form No. 4</t>
  </si>
  <si>
    <t>Gross Fixed Assets (Rs Crores)</t>
  </si>
  <si>
    <t>Closing GFA for FY 2018-19</t>
  </si>
  <si>
    <t>Closing GFA for FY 2019-20</t>
  </si>
  <si>
    <t>Closing GFA for FY 2020-21</t>
  </si>
  <si>
    <t>Closing GFA for FY 2021-22</t>
  </si>
  <si>
    <t>Notes</t>
  </si>
  <si>
    <t>GFA break-up including SLDC assets</t>
  </si>
  <si>
    <t>FORM-5 A</t>
  </si>
  <si>
    <t>Calculation of Weighted Average Depreciation Rate (%)</t>
  </si>
  <si>
    <t>CHHATTISGARH STATE POWER TRANSMISSION COMPANY LIMITED</t>
  </si>
  <si>
    <t>Opening GFA (CSPTCL+SLDC) for    FY 2021-22</t>
  </si>
  <si>
    <t>Closing GFA (CSPTCL+SLDC) for FY 2021-22</t>
  </si>
  <si>
    <t>Average GFA (CSPTCL+SLDC) for FY 2021-22</t>
  </si>
  <si>
    <t>Gross Depreciation for FY 2021-22 (Rs Crores)</t>
  </si>
  <si>
    <t>GFA including SLDC assets</t>
  </si>
  <si>
    <t>FORM- 5 B</t>
  </si>
  <si>
    <t xml:space="preserve">Computation of depreciation </t>
  </si>
  <si>
    <t>FY</t>
  </si>
  <si>
    <t>Opening GFA</t>
  </si>
  <si>
    <t>Additional Capitalization</t>
  </si>
  <si>
    <t xml:space="preserve">Disposal/Sale of Asset </t>
  </si>
  <si>
    <t>Rate of Depreciation</t>
  </si>
  <si>
    <t>Dep during the FY</t>
  </si>
  <si>
    <t>Less: Dep on the fully dep assets</t>
  </si>
  <si>
    <t>Less: Dep on the live assets created out of consumer contribution</t>
  </si>
  <si>
    <t>Net Dep during the year</t>
  </si>
  <si>
    <t>Accumulated depreciation</t>
  </si>
  <si>
    <t>Net Block</t>
  </si>
  <si>
    <t>Salvage value as per  norm</t>
  </si>
  <si>
    <t>2018-19</t>
  </si>
  <si>
    <t>2019-20</t>
  </si>
  <si>
    <t>GFA Schedule is taken as approved by the Hon'ble Commission</t>
  </si>
  <si>
    <t>Depreciation calculations are as per the methodology determined by the Commission</t>
  </si>
  <si>
    <t>Depreciation Rate is taken as the weighted average Depreciation rate</t>
  </si>
  <si>
    <t>GFA addition is taken net of SLDC assets</t>
  </si>
  <si>
    <t>Form F-6</t>
  </si>
  <si>
    <t>Statement of Depreciation (Rs. Crores)</t>
  </si>
  <si>
    <t>FY2020-21</t>
  </si>
  <si>
    <t>FY2021-22</t>
  </si>
  <si>
    <t>Cumulative Depreciation on Capital Cost (Opg.)</t>
  </si>
  <si>
    <t>This includes SLDC also</t>
  </si>
  <si>
    <t>Depreciation on Additional Capitalisation</t>
  </si>
  <si>
    <t>Amount of Additional Capitalisation</t>
  </si>
  <si>
    <t>Depreciation Amount during the year</t>
  </si>
  <si>
    <t>Detail of FERV</t>
  </si>
  <si>
    <t>Amount of FERV on which depreciation charged</t>
  </si>
  <si>
    <t>Depreciation amount</t>
  </si>
  <si>
    <t>Depreciation recovered during the Year</t>
  </si>
  <si>
    <t>Advance against Depreciation recovered during the Year</t>
  </si>
  <si>
    <t>Depreciation &amp; Advance against
Depreciation recovered during the year</t>
  </si>
  <si>
    <t>Cumulative Depreciation &amp; Advance against Depreciation recovered upto the year</t>
  </si>
  <si>
    <t>Depreciation calculations are as per the methodology while deternining ARR</t>
  </si>
  <si>
    <t>GFA taken is as per the commissions approved GFA wide tariff order dated 12.07.2013</t>
  </si>
  <si>
    <t>FORM-7</t>
  </si>
  <si>
    <t>Calculation of Interest on Normative Loan (Rs. Crores)</t>
  </si>
  <si>
    <t>FY 2018-19 (Rs Crores)</t>
  </si>
  <si>
    <t>FY 2019-20 (Rs Crores)</t>
  </si>
  <si>
    <t>FY 2020-21 (Rs Crores)</t>
  </si>
  <si>
    <t>FY 2021-22 (Rs Crores)</t>
  </si>
  <si>
    <t>FORM-8</t>
  </si>
  <si>
    <t>Interest on Working Capital (Rs. Crores.)</t>
  </si>
  <si>
    <t>FY 2018-19 (₹ Crores)</t>
  </si>
  <si>
    <t>FY 2019-20 (₹ Crores)</t>
  </si>
  <si>
    <t>FY 2020-21 (₹ Crores)</t>
  </si>
  <si>
    <t>FY 2021-22 (₹ Crores)</t>
  </si>
  <si>
    <t>Notes :</t>
  </si>
  <si>
    <t>* As per the norms of the regulations</t>
  </si>
  <si>
    <t>Form No: F9</t>
  </si>
  <si>
    <t>Income from Investments and Non-tariff Income (Rs. Crores.)</t>
  </si>
  <si>
    <t>Net gain/(loss) arising on financial assets designated as at FVTPL</t>
  </si>
  <si>
    <t>Realised</t>
  </si>
  <si>
    <t>Unrealised</t>
  </si>
  <si>
    <t>Interest on Bank Deposits</t>
  </si>
  <si>
    <t>Interest on Refund from Excise Department</t>
  </si>
  <si>
    <t>Interest on Deposits with Contractors and Suppliers</t>
  </si>
  <si>
    <t>Interest on Loans to Employees</t>
  </si>
  <si>
    <t>Interest on Loan given to CSPDCL</t>
  </si>
  <si>
    <t>Sub-Total</t>
  </si>
  <si>
    <t>Other Non Tariff Income</t>
  </si>
  <si>
    <t>Rental Income</t>
  </si>
  <si>
    <t>Net proceeds from Sale of Scrap</t>
  </si>
  <si>
    <t>Other Miscellaneous Income</t>
  </si>
  <si>
    <t>Other Recoveries from Contractors/ Suppliers</t>
  </si>
  <si>
    <t>Surplus on redemption of Mutual Fund</t>
  </si>
  <si>
    <t>Note: The above also inlcudes SLDC income</t>
  </si>
  <si>
    <t>FORM-10</t>
  </si>
  <si>
    <t>Details of Expenses Capitalized (Rs. Crores.)</t>
  </si>
  <si>
    <t>FY 2018-19 (₹ in Crores)</t>
  </si>
  <si>
    <t>FY 2019-20 (₹ in Crores)</t>
  </si>
  <si>
    <t>FY 2020-21 (₹ in Crores)</t>
  </si>
  <si>
    <t>FY 2021-22 (₹ in Crores)</t>
  </si>
  <si>
    <t>Form No: 11</t>
  </si>
  <si>
    <t>Energy balance statement (in MU) at transmission system</t>
  </si>
  <si>
    <t>S No</t>
  </si>
  <si>
    <t>State Generation Ex-Bus at 132 KV and above (MU)</t>
  </si>
  <si>
    <t>Drawal from CTU Grid at CG Periphery at 132 kV and above (Mu)</t>
  </si>
  <si>
    <t>IPPs/CPP Injection in CSPTCL System at 132 KV &amp; above (MU)</t>
  </si>
  <si>
    <t>Total Injection at State Grid of STU (MU)</t>
  </si>
  <si>
    <t>EHV Sales from Sub Station (MU)</t>
  </si>
  <si>
    <t>Net Output to DISCOM (MU)</t>
  </si>
  <si>
    <t>Total Output from CSPTCL System (MU)</t>
  </si>
  <si>
    <t>Transmission Loss (MU)</t>
  </si>
  <si>
    <t>Transmission Loss (%)</t>
  </si>
  <si>
    <t>Form No:12</t>
  </si>
  <si>
    <t>Employee Cost and Provisions (Rs. Crores.)</t>
  </si>
  <si>
    <t>Employee Strength</t>
  </si>
  <si>
    <t>Working Strength At the end  Of The Year</t>
  </si>
  <si>
    <t>I</t>
  </si>
  <si>
    <t>Employee Category</t>
  </si>
  <si>
    <t>d</t>
  </si>
  <si>
    <t>Sanctioned Strength At The End Of The Year</t>
  </si>
  <si>
    <t>Salaries &amp; Wages</t>
  </si>
  <si>
    <t>Basic Salary</t>
  </si>
  <si>
    <t>Addl pay</t>
  </si>
  <si>
    <t>Overtime</t>
  </si>
  <si>
    <t>Additional Wages</t>
  </si>
  <si>
    <t>Dearness Allow.</t>
  </si>
  <si>
    <t>Salary Wages Adj A/c</t>
  </si>
  <si>
    <t>CCA</t>
  </si>
  <si>
    <t>CA</t>
  </si>
  <si>
    <t>NSA</t>
  </si>
  <si>
    <t>RDA</t>
  </si>
  <si>
    <t>HRA</t>
  </si>
  <si>
    <t>Medical Allow</t>
  </si>
  <si>
    <t>Conveyance Allow</t>
  </si>
  <si>
    <t>Compen. Encashment</t>
  </si>
  <si>
    <t>Bilingual Allow.</t>
  </si>
  <si>
    <t>Kit/Dress/Wash Allw.</t>
  </si>
  <si>
    <t>Othr Allow-Settl Prj</t>
  </si>
  <si>
    <t>Field Allowance</t>
  </si>
  <si>
    <t>Bastar Allowance</t>
  </si>
  <si>
    <t>Other Allow</t>
  </si>
  <si>
    <t>Bonus-Ex-Gratia</t>
  </si>
  <si>
    <t>Aprenticship Stipend</t>
  </si>
  <si>
    <t>Transport Allowance</t>
  </si>
  <si>
    <t>Scheduled Area Alow.</t>
  </si>
  <si>
    <t>Staff Welfare Expenses</t>
  </si>
  <si>
    <t>Recreation exp</t>
  </si>
  <si>
    <t>Staff welfare exp</t>
  </si>
  <si>
    <t>Welfare exp.on death</t>
  </si>
  <si>
    <t>Training exp</t>
  </si>
  <si>
    <t>Other Staff Costs</t>
  </si>
  <si>
    <t xml:space="preserve"> G.T.I.S. 100%</t>
  </si>
  <si>
    <t>Medical Rembrs</t>
  </si>
  <si>
    <t>Uniforms exp</t>
  </si>
  <si>
    <t>Con-Medicine</t>
  </si>
  <si>
    <t>Medical exp</t>
  </si>
  <si>
    <t>Tuition Rembrs</t>
  </si>
  <si>
    <t>LTC</t>
  </si>
  <si>
    <t xml:space="preserve"> MP SK NIDHI</t>
  </si>
  <si>
    <t>Employees Costs PY</t>
  </si>
  <si>
    <t>Interim Relief (Wage Revision)</t>
  </si>
  <si>
    <t>Earned Leave Encashment to Retired Employees</t>
  </si>
  <si>
    <t>F</t>
  </si>
  <si>
    <t xml:space="preserve">Gratuity &amp; Pension </t>
  </si>
  <si>
    <t>Pension payment</t>
  </si>
  <si>
    <t>Gratuity payment</t>
  </si>
  <si>
    <t>Emp Cont pension</t>
  </si>
  <si>
    <t>G</t>
  </si>
  <si>
    <t>Contribution to Provident Fund &amp; Other Funds</t>
  </si>
  <si>
    <t>Emp Contr. to NCP</t>
  </si>
  <si>
    <t>PF Board Cont</t>
  </si>
  <si>
    <t>FPS/FPF Board Cont</t>
  </si>
  <si>
    <t>PF Inspection charge</t>
  </si>
  <si>
    <t>Employer Contr.- ESI</t>
  </si>
  <si>
    <t>Employer Contr.EDLI</t>
  </si>
  <si>
    <t>Employer Contr.EPS</t>
  </si>
  <si>
    <t>H</t>
  </si>
  <si>
    <t>Capitalization</t>
  </si>
  <si>
    <t>J</t>
  </si>
  <si>
    <t xml:space="preserve">Employee expenses including that of SLDC </t>
  </si>
  <si>
    <t>Form F13- A&amp;G Expenses</t>
  </si>
  <si>
    <t>Rent</t>
  </si>
  <si>
    <t>Rates &amp; Taxes</t>
  </si>
  <si>
    <t>Insurance</t>
  </si>
  <si>
    <t xml:space="preserve">Electricity Charges (Office &amp; Other Consumption) </t>
  </si>
  <si>
    <t>e</t>
  </si>
  <si>
    <t>Service Contract including Legal &amp; Professional Charges</t>
  </si>
  <si>
    <t>f</t>
  </si>
  <si>
    <t>Vehicle Running, Hiring and Maintenance</t>
  </si>
  <si>
    <t>g</t>
  </si>
  <si>
    <t>A &amp; G Expenses of CSPHCL</t>
  </si>
  <si>
    <t>h</t>
  </si>
  <si>
    <t>Provision for Shortages in Inventory</t>
  </si>
  <si>
    <t>i</t>
  </si>
  <si>
    <t>Other Miscellaneous Expenses</t>
  </si>
  <si>
    <t>j</t>
  </si>
  <si>
    <t xml:space="preserve">        Statutory Audit Fees</t>
  </si>
  <si>
    <t>k</t>
  </si>
  <si>
    <t xml:space="preserve">        Tax Audit Fees</t>
  </si>
  <si>
    <t>l</t>
  </si>
  <si>
    <t>m</t>
  </si>
  <si>
    <t>n</t>
  </si>
  <si>
    <t>Net A&amp;G expenses</t>
  </si>
  <si>
    <t>Note</t>
  </si>
  <si>
    <t>This includes expenses of SLDC also</t>
  </si>
  <si>
    <t>Form F14- R&amp;M Expenses</t>
  </si>
  <si>
    <t>Plant and Machinery</t>
  </si>
  <si>
    <t>Building and Civil Works</t>
  </si>
  <si>
    <t>Gross R&amp;M expenses</t>
  </si>
  <si>
    <t>Net R&amp;M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</si>
</sst>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_);\-#,##0"/>
    <numFmt numFmtId="167" formatCode="#,##0.00_);\-#,##0.00"/>
    <numFmt numFmtId="168" formatCode="0.0"/>
    <numFmt numFmtId="169" formatCode="_(* #,##0.000_);_(* \(#,##0.000\);_(* &quot;-&quot;??_);_(@_)"/>
    <numFmt numFmtId="170" formatCode="_(* #,##0.0000_);_(* \(#,##0.0000\);_(* &quot;-&quot;??_);_(@_)"/>
    <numFmt numFmtId="171" formatCode="0.00_);\(0.00\)"/>
    <numFmt numFmtId="172" formatCode="_ * #,##0_ ;_ * \-#,##0_ ;_ * &quot;-&quot;??_ ;_ @_ "/>
    <numFmt numFmtId="173" formatCode="_ * #,##0.0000_ ;_ * \-#,##0.0000_ ;_ * &quot;-&quot;??_ ;_ @_ "/>
    <numFmt numFmtId="174" formatCode="0.00000000000000000%"/>
    <numFmt numFmtId="175" formatCode="0.000%"/>
    <numFmt numFmtId="176" formatCode="0.00000000"/>
    <numFmt numFmtId="177" formatCode="0.000000"/>
    <numFmt numFmtId="178" formatCode="_(* #,##0.000000_);_(* \(#,##0.000000\);_(* &quot;-&quot;??_);_(@_)"/>
    <numFmt numFmtId="179" formatCode="_(* #,##0.0000000_);_(* \(#,##0.0000000\);_(* &quot;-&quot;??_);_(@_)"/>
    <numFmt numFmtId="180" formatCode="_(* #,##0.000000000_);_(* \(#,##0.000000000\);_(* &quot;-&quot;??_);_(@_)"/>
    <numFmt numFmtId="181" formatCode="_(* #,##0.00000000_);_(* \(#,##0.00000000\);_(* &quot;-&quot;??_);_(@_)"/>
    <numFmt numFmtId="182" formatCode="0.0000000"/>
    <numFmt numFmtId="183" formatCode="_ * #,##0.00000_ ;_ * \-#,##0.00000_ ;_ * &quot;-&quot;??_ ;_ @_ "/>
    <numFmt numFmtId="184" formatCode="0.0000"/>
    <numFmt numFmtId="185" formatCode="_(* #,##0.00000_);_(* \(#,##0.00000\);_(* &quot;-&quot;??_);_(@_)"/>
    <numFmt numFmtId="186" formatCode="_ * #,##0.000000_ ;_ * \-#,##0.000000_ ;_ * &quot;-&quot;??_ ;_ @_ "/>
    <numFmt numFmtId="187" formatCode="_ * #,##0.0000000000000_ ;_ * \-#,##0.0000000000000_ ;_ * &quot;-&quot;??_ ;_ @_ "/>
    <numFmt numFmtId="188" formatCode="_ * #,##0.0000000_ ;_ * \-#,##0.0000000_ ;_ * &quot;-&quot;??_ ;_ @_ "/>
    <numFmt numFmtId="189" formatCode="_ * #,##0.00000000000_ ;_ * \-#,##0.00000000000_ ;_ * &quot;-&quot;??_ ;_ @_ "/>
    <numFmt numFmtId="190" formatCode="0.00000000000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u/>
      <sz val="10"/>
      <name val="Calibri"/>
      <family val="2"/>
    </font>
    <font>
      <u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b/>
      <u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 tint="-4.9989318521683403E-2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0"/>
      <name val="Calibri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Protection="0">
      <alignment vertical="top" wrapText="1"/>
    </xf>
    <xf numFmtId="164" fontId="8" fillId="0" borderId="0" applyFont="0" applyFill="0" applyBorder="0" applyAlignment="0" applyProtection="0"/>
    <xf numFmtId="0" fontId="32" fillId="0" borderId="0"/>
    <xf numFmtId="0" fontId="40" fillId="0" borderId="0" applyNumberFormat="0" applyFill="0" applyBorder="0" applyAlignment="0" applyProtection="0"/>
  </cellStyleXfs>
  <cellXfs count="67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1" fillId="0" borderId="0" xfId="1" applyFont="1" applyAlignment="1">
      <alignment vertical="center"/>
    </xf>
    <xf numFmtId="164" fontId="3" fillId="0" borderId="0" xfId="1" applyFont="1" applyAlignment="1">
      <alignment vertical="center"/>
    </xf>
    <xf numFmtId="10" fontId="1" fillId="0" borderId="0" xfId="2" applyNumberFormat="1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top"/>
    </xf>
    <xf numFmtId="164" fontId="3" fillId="4" borderId="4" xfId="1" applyFont="1" applyFill="1" applyBorder="1" applyAlignment="1">
      <alignment vertical="center"/>
    </xf>
    <xf numFmtId="164" fontId="3" fillId="4" borderId="5" xfId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Border="1" applyAlignment="1">
      <alignment vertical="center"/>
    </xf>
    <xf numFmtId="164" fontId="1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1" applyFont="1" applyBorder="1" applyAlignment="1">
      <alignment vertical="center"/>
    </xf>
    <xf numFmtId="165" fontId="3" fillId="4" borderId="4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4" borderId="4" xfId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0" fontId="3" fillId="4" borderId="4" xfId="2" applyNumberFormat="1" applyFont="1" applyFill="1" applyBorder="1" applyAlignment="1">
      <alignment vertical="center"/>
    </xf>
    <xf numFmtId="164" fontId="1" fillId="2" borderId="0" xfId="1" applyFont="1" applyFill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64" fontId="7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10" fontId="1" fillId="2" borderId="0" xfId="2" applyNumberFormat="1" applyFont="1" applyFill="1" applyAlignment="1">
      <alignment vertical="center"/>
    </xf>
    <xf numFmtId="164" fontId="1" fillId="0" borderId="0" xfId="1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0" fontId="3" fillId="0" borderId="0" xfId="2" applyNumberFormat="1" applyFont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0" fontId="7" fillId="0" borderId="0" xfId="2" applyNumberFormat="1" applyFont="1" applyAlignment="1">
      <alignment vertical="center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164" fontId="6" fillId="4" borderId="4" xfId="1" applyFont="1" applyFill="1" applyBorder="1" applyAlignment="1">
      <alignment vertical="center"/>
    </xf>
    <xf numFmtId="164" fontId="3" fillId="4" borderId="4" xfId="1" applyFont="1" applyFill="1" applyBorder="1" applyAlignment="1">
      <alignment vertical="center" wrapText="1"/>
    </xf>
    <xf numFmtId="10" fontId="1" fillId="0" borderId="0" xfId="2" applyNumberFormat="1" applyFont="1" applyBorder="1" applyAlignment="1">
      <alignment vertical="center"/>
    </xf>
    <xf numFmtId="10" fontId="1" fillId="0" borderId="0" xfId="2" applyNumberFormat="1" applyFont="1" applyBorder="1" applyAlignment="1">
      <alignment vertical="center" wrapText="1"/>
    </xf>
    <xf numFmtId="164" fontId="1" fillId="6" borderId="0" xfId="1" applyFont="1" applyFill="1" applyAlignment="1">
      <alignment vertical="center"/>
    </xf>
    <xf numFmtId="2" fontId="3" fillId="4" borderId="4" xfId="1" applyNumberFormat="1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8" fillId="0" borderId="0" xfId="3" applyFont="1" applyAlignment="1">
      <alignment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8" fillId="0" borderId="0" xfId="3" applyFont="1" applyBorder="1" applyAlignment="1">
      <alignment horizontal="center" vertical="center" wrapText="1"/>
    </xf>
    <xf numFmtId="164" fontId="18" fillId="2" borderId="0" xfId="1" applyFont="1" applyFill="1" applyBorder="1" applyAlignment="1">
      <alignment vertical="center" wrapText="1"/>
    </xf>
    <xf numFmtId="164" fontId="18" fillId="0" borderId="0" xfId="1" applyFont="1" applyBorder="1" applyAlignment="1">
      <alignment horizontal="left" vertical="center" wrapText="1"/>
    </xf>
    <xf numFmtId="164" fontId="18" fillId="0" borderId="0" xfId="1" applyFont="1" applyBorder="1" applyAlignment="1">
      <alignment vertical="center" wrapText="1"/>
    </xf>
    <xf numFmtId="0" fontId="15" fillId="0" borderId="0" xfId="3" applyFont="1" applyBorder="1" applyAlignment="1">
      <alignment horizontal="center" vertical="center" wrapText="1"/>
    </xf>
    <xf numFmtId="164" fontId="15" fillId="0" borderId="0" xfId="1" applyFont="1" applyBorder="1" applyAlignment="1">
      <alignment vertical="center" wrapText="1"/>
    </xf>
    <xf numFmtId="0" fontId="15" fillId="0" borderId="0" xfId="3" applyFont="1" applyAlignment="1">
      <alignment vertical="center" wrapText="1"/>
    </xf>
    <xf numFmtId="164" fontId="15" fillId="0" borderId="22" xfId="1" applyFont="1" applyBorder="1" applyAlignment="1">
      <alignment vertical="center" wrapText="1"/>
    </xf>
    <xf numFmtId="0" fontId="18" fillId="0" borderId="0" xfId="3" applyFont="1" applyAlignment="1">
      <alignment horizontal="center" vertical="center" wrapText="1"/>
    </xf>
    <xf numFmtId="164" fontId="18" fillId="0" borderId="0" xfId="1" applyFont="1" applyAlignment="1">
      <alignment vertical="center" wrapText="1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2" fillId="0" borderId="0" xfId="4" applyFont="1" applyAlignment="1">
      <alignment horizontal="center" vertical="center"/>
    </xf>
    <xf numFmtId="0" fontId="19" fillId="0" borderId="0" xfId="4" applyFont="1" applyAlignment="1">
      <alignment vertical="center" wrapText="1"/>
    </xf>
    <xf numFmtId="0" fontId="2" fillId="0" borderId="0" xfId="4" applyFont="1" applyAlignment="1">
      <alignment horizontal="left" vertical="center" wrapText="1"/>
    </xf>
    <xf numFmtId="0" fontId="2" fillId="0" borderId="20" xfId="4" applyFont="1" applyBorder="1" applyAlignment="1">
      <alignment horizontal="center" vertical="center"/>
    </xf>
    <xf numFmtId="0" fontId="6" fillId="0" borderId="21" xfId="4" applyFont="1" applyBorder="1" applyAlignment="1">
      <alignment horizontal="left" vertical="center" wrapText="1"/>
    </xf>
    <xf numFmtId="0" fontId="2" fillId="0" borderId="0" xfId="4" applyFont="1" applyAlignment="1">
      <alignment vertical="center"/>
    </xf>
    <xf numFmtId="0" fontId="6" fillId="2" borderId="0" xfId="4" applyFont="1" applyFill="1" applyAlignment="1">
      <alignment vertical="center" wrapText="1"/>
    </xf>
    <xf numFmtId="0" fontId="18" fillId="0" borderId="0" xfId="3" applyFont="1" applyBorder="1" applyAlignment="1">
      <alignment vertical="center" wrapText="1"/>
    </xf>
    <xf numFmtId="0" fontId="2" fillId="0" borderId="0" xfId="4" applyFont="1" applyAlignment="1">
      <alignment vertical="center" wrapText="1"/>
    </xf>
    <xf numFmtId="39" fontId="6" fillId="0" borderId="0" xfId="0" applyNumberFormat="1" applyFont="1"/>
    <xf numFmtId="39" fontId="2" fillId="0" borderId="0" xfId="0" applyNumberFormat="1" applyFont="1"/>
    <xf numFmtId="0" fontId="18" fillId="0" borderId="0" xfId="3" applyFont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2" fontId="20" fillId="0" borderId="0" xfId="7" applyNumberFormat="1" applyFont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2" fontId="20" fillId="2" borderId="0" xfId="7" applyNumberFormat="1" applyFont="1" applyFill="1" applyAlignment="1">
      <alignment horizontal="center" vertical="center" wrapText="1"/>
    </xf>
    <xf numFmtId="0" fontId="20" fillId="2" borderId="0" xfId="7" applyFont="1" applyFill="1" applyAlignment="1">
      <alignment horizontal="center" vertical="center" wrapText="1"/>
    </xf>
    <xf numFmtId="0" fontId="20" fillId="0" borderId="0" xfId="7" applyFont="1" applyAlignment="1">
      <alignment vertical="center"/>
    </xf>
    <xf numFmtId="0" fontId="25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vertical="center"/>
    </xf>
    <xf numFmtId="0" fontId="14" fillId="0" borderId="0" xfId="7" applyFont="1" applyAlignment="1">
      <alignment vertical="center"/>
    </xf>
    <xf numFmtId="0" fontId="18" fillId="0" borderId="0" xfId="3" applyFont="1" applyAlignment="1">
      <alignment vertical="center"/>
    </xf>
    <xf numFmtId="0" fontId="24" fillId="0" borderId="0" xfId="7" applyFont="1" applyAlignment="1">
      <alignment vertical="center"/>
    </xf>
    <xf numFmtId="0" fontId="26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2" fontId="20" fillId="0" borderId="0" xfId="7" applyNumberFormat="1" applyFont="1" applyAlignment="1">
      <alignment horizontal="center" vertical="center"/>
    </xf>
    <xf numFmtId="0" fontId="27" fillId="8" borderId="0" xfId="7" applyFont="1" applyFill="1" applyAlignment="1">
      <alignment vertical="center"/>
    </xf>
    <xf numFmtId="2" fontId="27" fillId="8" borderId="0" xfId="7" applyNumberFormat="1" applyFont="1" applyFill="1" applyAlignment="1">
      <alignment vertical="center"/>
    </xf>
    <xf numFmtId="0" fontId="15" fillId="0" borderId="0" xfId="3" applyFont="1" applyAlignment="1">
      <alignment horizontal="center" vertical="center" wrapText="1"/>
    </xf>
    <xf numFmtId="0" fontId="21" fillId="0" borderId="0" xfId="3" applyFont="1" applyAlignment="1">
      <alignment horizontal="left" vertical="center"/>
    </xf>
    <xf numFmtId="167" fontId="18" fillId="8" borderId="23" xfId="3" applyNumberFormat="1" applyFont="1" applyFill="1" applyBorder="1" applyAlignment="1">
      <alignment horizontal="center" vertical="center" wrapText="1"/>
    </xf>
    <xf numFmtId="0" fontId="25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18" fillId="0" borderId="24" xfId="3" applyFont="1" applyBorder="1" applyAlignment="1">
      <alignment vertical="center" wrapText="1"/>
    </xf>
    <xf numFmtId="0" fontId="15" fillId="2" borderId="0" xfId="8" applyFont="1" applyFill="1" applyBorder="1" applyAlignment="1">
      <alignment vertical="center" wrapText="1"/>
    </xf>
    <xf numFmtId="0" fontId="18" fillId="0" borderId="0" xfId="4" applyFont="1" applyAlignment="1">
      <alignment vertical="center"/>
    </xf>
    <xf numFmtId="0" fontId="20" fillId="0" borderId="0" xfId="3" applyFont="1" applyBorder="1" applyAlignment="1">
      <alignment vertical="center"/>
    </xf>
    <xf numFmtId="0" fontId="20" fillId="0" borderId="0" xfId="3" applyFont="1" applyBorder="1" applyAlignment="1">
      <alignment horizontal="left" vertical="center"/>
    </xf>
    <xf numFmtId="0" fontId="20" fillId="0" borderId="0" xfId="3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1" fillId="0" borderId="0" xfId="1" applyNumberFormat="1" applyFont="1" applyAlignment="1">
      <alignment vertical="center"/>
    </xf>
    <xf numFmtId="164" fontId="7" fillId="0" borderId="0" xfId="1" applyFont="1" applyFill="1" applyAlignment="1">
      <alignment vertical="center"/>
    </xf>
    <xf numFmtId="10" fontId="1" fillId="0" borderId="0" xfId="2" applyNumberFormat="1" applyFont="1" applyFill="1" applyAlignment="1">
      <alignment vertical="center"/>
    </xf>
    <xf numFmtId="9" fontId="1" fillId="0" borderId="0" xfId="2" applyFont="1" applyAlignment="1">
      <alignment vertical="center"/>
    </xf>
    <xf numFmtId="164" fontId="1" fillId="0" borderId="0" xfId="1" applyFont="1" applyFill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64" fontId="1" fillId="0" borderId="23" xfId="1" applyFont="1" applyBorder="1" applyAlignment="1">
      <alignment vertical="center"/>
    </xf>
    <xf numFmtId="0" fontId="15" fillId="0" borderId="23" xfId="4" applyFont="1" applyBorder="1" applyAlignment="1">
      <alignment horizontal="center" vertical="center"/>
    </xf>
    <xf numFmtId="0" fontId="15" fillId="0" borderId="23" xfId="4" applyFont="1" applyBorder="1" applyAlignment="1">
      <alignment horizontal="left" vertical="center"/>
    </xf>
    <xf numFmtId="0" fontId="18" fillId="0" borderId="23" xfId="4" applyFont="1" applyBorder="1" applyAlignment="1">
      <alignment vertical="center"/>
    </xf>
    <xf numFmtId="0" fontId="15" fillId="0" borderId="23" xfId="4" applyFont="1" applyBorder="1" applyAlignment="1">
      <alignment vertical="center"/>
    </xf>
    <xf numFmtId="0" fontId="18" fillId="0" borderId="23" xfId="4" applyFont="1" applyBorder="1" applyAlignment="1">
      <alignment horizontal="center" vertical="center"/>
    </xf>
    <xf numFmtId="0" fontId="18" fillId="0" borderId="23" xfId="4" applyFont="1" applyBorder="1" applyAlignment="1">
      <alignment horizontal="left" vertical="center"/>
    </xf>
    <xf numFmtId="0" fontId="18" fillId="2" borderId="23" xfId="4" applyFont="1" applyFill="1" applyBorder="1" applyAlignment="1">
      <alignment horizontal="center" vertical="center"/>
    </xf>
    <xf numFmtId="0" fontId="15" fillId="2" borderId="23" xfId="4" applyFont="1" applyFill="1" applyBorder="1" applyAlignment="1">
      <alignment horizontal="left" vertical="center"/>
    </xf>
    <xf numFmtId="164" fontId="15" fillId="2" borderId="23" xfId="1" applyFont="1" applyFill="1" applyBorder="1" applyAlignment="1">
      <alignment horizontal="right" vertical="center"/>
    </xf>
    <xf numFmtId="0" fontId="15" fillId="2" borderId="23" xfId="4" applyFont="1" applyFill="1" applyBorder="1" applyAlignment="1">
      <alignment vertical="center"/>
    </xf>
    <xf numFmtId="164" fontId="18" fillId="2" borderId="23" xfId="1" applyFont="1" applyFill="1" applyBorder="1" applyAlignment="1">
      <alignment vertical="center"/>
    </xf>
    <xf numFmtId="0" fontId="18" fillId="2" borderId="23" xfId="4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164" fontId="16" fillId="0" borderId="23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164" fontId="7" fillId="0" borderId="23" xfId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16" fillId="0" borderId="23" xfId="1" applyFont="1" applyFill="1" applyBorder="1" applyAlignment="1">
      <alignment vertical="center"/>
    </xf>
    <xf numFmtId="164" fontId="16" fillId="2" borderId="23" xfId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18" fillId="0" borderId="0" xfId="3" applyNumberFormat="1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3" fillId="0" borderId="0" xfId="1" applyFont="1" applyFill="1" applyBorder="1" applyAlignment="1">
      <alignment vertical="center"/>
    </xf>
    <xf numFmtId="2" fontId="17" fillId="2" borderId="0" xfId="0" applyNumberFormat="1" applyFont="1" applyFill="1" applyAlignment="1">
      <alignment vertical="top"/>
    </xf>
    <xf numFmtId="43" fontId="3" fillId="4" borderId="4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10" fontId="3" fillId="4" borderId="0" xfId="2" applyNumberFormat="1" applyFont="1" applyFill="1" applyBorder="1" applyAlignment="1">
      <alignment vertical="center"/>
    </xf>
    <xf numFmtId="10" fontId="3" fillId="4" borderId="0" xfId="2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10" fontId="3" fillId="0" borderId="0" xfId="2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8" fontId="13" fillId="0" borderId="0" xfId="4" applyNumberFormat="1"/>
    <xf numFmtId="0" fontId="2" fillId="0" borderId="0" xfId="0" applyFont="1" applyAlignment="1">
      <alignment vertical="top"/>
    </xf>
    <xf numFmtId="0" fontId="31" fillId="0" borderId="0" xfId="0" applyFont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4" fontId="15" fillId="0" borderId="0" xfId="1" applyFont="1" applyBorder="1" applyAlignment="1">
      <alignment horizontal="left" vertical="center" wrapText="1"/>
    </xf>
    <xf numFmtId="0" fontId="9" fillId="7" borderId="11" xfId="3" applyFont="1" applyFill="1" applyBorder="1" applyAlignment="1">
      <alignment horizontal="right" vertical="center"/>
    </xf>
    <xf numFmtId="2" fontId="18" fillId="0" borderId="0" xfId="3" applyNumberFormat="1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vertical="center"/>
    </xf>
    <xf numFmtId="2" fontId="1" fillId="0" borderId="0" xfId="2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0" fontId="15" fillId="0" borderId="0" xfId="3" applyNumberFormat="1" applyFont="1" applyAlignment="1">
      <alignment vertical="center" wrapText="1"/>
    </xf>
    <xf numFmtId="0" fontId="33" fillId="9" borderId="0" xfId="10" applyFont="1" applyFill="1"/>
    <xf numFmtId="0" fontId="28" fillId="0" borderId="0" xfId="10" applyFont="1"/>
    <xf numFmtId="0" fontId="33" fillId="9" borderId="23" xfId="10" applyFont="1" applyFill="1" applyBorder="1" applyAlignment="1">
      <alignment horizontal="center"/>
    </xf>
    <xf numFmtId="0" fontId="28" fillId="0" borderId="23" xfId="10" applyFont="1" applyBorder="1"/>
    <xf numFmtId="2" fontId="28" fillId="0" borderId="23" xfId="10" applyNumberFormat="1" applyFont="1" applyBorder="1"/>
    <xf numFmtId="2" fontId="28" fillId="0" borderId="25" xfId="2" applyNumberFormat="1" applyFont="1" applyBorder="1"/>
    <xf numFmtId="2" fontId="34" fillId="0" borderId="23" xfId="10" applyNumberFormat="1" applyFont="1" applyBorder="1"/>
    <xf numFmtId="0" fontId="34" fillId="0" borderId="23" xfId="10" applyFont="1" applyBorder="1"/>
    <xf numFmtId="169" fontId="7" fillId="0" borderId="23" xfId="1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center" indent="1"/>
    </xf>
    <xf numFmtId="0" fontId="36" fillId="0" borderId="28" xfId="0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vertical="center"/>
    </xf>
    <xf numFmtId="164" fontId="7" fillId="0" borderId="0" xfId="1" applyFont="1" applyAlignment="1">
      <alignment horizontal="right" vertical="center"/>
    </xf>
    <xf numFmtId="0" fontId="29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center" vertical="center" wrapText="1"/>
    </xf>
    <xf numFmtId="2" fontId="29" fillId="0" borderId="28" xfId="0" applyNumberFormat="1" applyFont="1" applyBorder="1" applyAlignment="1">
      <alignment horizontal="center" vertical="center" wrapText="1"/>
    </xf>
    <xf numFmtId="10" fontId="12" fillId="0" borderId="0" xfId="2" applyNumberFormat="1" applyFont="1" applyAlignment="1">
      <alignment horizontal="center" vertical="center"/>
    </xf>
    <xf numFmtId="2" fontId="36" fillId="0" borderId="2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3" fillId="5" borderId="4" xfId="1" applyFont="1" applyFill="1" applyBorder="1" applyAlignment="1">
      <alignment vertical="center"/>
    </xf>
    <xf numFmtId="164" fontId="15" fillId="0" borderId="0" xfId="3" applyNumberFormat="1" applyFont="1" applyAlignment="1">
      <alignment vertical="center" wrapText="1"/>
    </xf>
    <xf numFmtId="165" fontId="18" fillId="0" borderId="23" xfId="1" applyNumberFormat="1" applyFont="1" applyBorder="1" applyAlignment="1">
      <alignment vertical="center"/>
    </xf>
    <xf numFmtId="165" fontId="15" fillId="0" borderId="23" xfId="1" applyNumberFormat="1" applyFont="1" applyBorder="1" applyAlignment="1">
      <alignment vertical="center"/>
    </xf>
    <xf numFmtId="10" fontId="1" fillId="4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5" fillId="9" borderId="23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2" fontId="29" fillId="0" borderId="23" xfId="0" applyNumberFormat="1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/>
    </xf>
    <xf numFmtId="2" fontId="36" fillId="0" borderId="23" xfId="0" applyNumberFormat="1" applyFont="1" applyBorder="1" applyAlignment="1">
      <alignment horizontal="center" vertical="center"/>
    </xf>
    <xf numFmtId="2" fontId="36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23" xfId="0" applyFont="1" applyBorder="1" applyAlignment="1">
      <alignment horizontal="left" vertical="center"/>
    </xf>
    <xf numFmtId="2" fontId="37" fillId="0" borderId="23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10" applyFont="1"/>
    <xf numFmtId="0" fontId="28" fillId="0" borderId="23" xfId="0" applyFont="1" applyBorder="1" applyAlignment="1">
      <alignment vertical="center"/>
    </xf>
    <xf numFmtId="4" fontId="28" fillId="0" borderId="23" xfId="0" applyNumberFormat="1" applyFont="1" applyBorder="1" applyAlignment="1">
      <alignment vertical="center"/>
    </xf>
    <xf numFmtId="10" fontId="28" fillId="0" borderId="23" xfId="2" applyNumberFormat="1" applyFont="1" applyBorder="1" applyAlignment="1">
      <alignment vertical="center"/>
    </xf>
    <xf numFmtId="2" fontId="28" fillId="0" borderId="23" xfId="0" applyNumberFormat="1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2" fontId="34" fillId="0" borderId="23" xfId="0" applyNumberFormat="1" applyFont="1" applyBorder="1" applyAlignment="1">
      <alignment vertical="center"/>
    </xf>
    <xf numFmtId="16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64" fontId="17" fillId="2" borderId="0" xfId="0" applyNumberFormat="1" applyFont="1" applyFill="1" applyAlignment="1">
      <alignment vertical="top"/>
    </xf>
    <xf numFmtId="170" fontId="1" fillId="6" borderId="0" xfId="1" applyNumberFormat="1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71" fontId="3" fillId="4" borderId="4" xfId="0" applyNumberFormat="1" applyFont="1" applyFill="1" applyBorder="1" applyAlignment="1">
      <alignment vertical="center"/>
    </xf>
    <xf numFmtId="0" fontId="35" fillId="9" borderId="31" xfId="0" applyFont="1" applyFill="1" applyBorder="1" applyAlignment="1">
      <alignment horizontal="center" vertical="center"/>
    </xf>
    <xf numFmtId="0" fontId="35" fillId="9" borderId="32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justify" vertical="center"/>
    </xf>
    <xf numFmtId="10" fontId="29" fillId="0" borderId="28" xfId="0" applyNumberFormat="1" applyFont="1" applyBorder="1" applyAlignment="1">
      <alignment horizontal="center" vertical="center" wrapText="1"/>
    </xf>
    <xf numFmtId="164" fontId="29" fillId="0" borderId="28" xfId="1" applyFont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  <xf numFmtId="164" fontId="1" fillId="11" borderId="0" xfId="1" applyFont="1" applyFill="1" applyBorder="1" applyAlignment="1">
      <alignment vertical="center"/>
    </xf>
    <xf numFmtId="164" fontId="1" fillId="11" borderId="0" xfId="1" applyFont="1" applyFill="1" applyAlignment="1">
      <alignment vertical="center"/>
    </xf>
    <xf numFmtId="10" fontId="1" fillId="11" borderId="0" xfId="2" applyNumberFormat="1" applyFont="1" applyFill="1" applyAlignment="1">
      <alignment vertical="center"/>
    </xf>
    <xf numFmtId="164" fontId="1" fillId="11" borderId="0" xfId="1" applyFont="1" applyFill="1" applyBorder="1" applyAlignment="1">
      <alignment vertical="center" wrapText="1"/>
    </xf>
    <xf numFmtId="0" fontId="17" fillId="2" borderId="0" xfId="0" applyFont="1" applyFill="1" applyAlignment="1">
      <alignment horizontal="right" vertical="center"/>
    </xf>
    <xf numFmtId="168" fontId="1" fillId="0" borderId="0" xfId="0" applyNumberFormat="1" applyFont="1" applyAlignment="1">
      <alignment vertical="center"/>
    </xf>
    <xf numFmtId="0" fontId="40" fillId="0" borderId="0" xfId="11"/>
    <xf numFmtId="164" fontId="1" fillId="0" borderId="0" xfId="1" applyFont="1" applyFill="1" applyBorder="1" applyAlignment="1">
      <alignment vertical="center"/>
    </xf>
    <xf numFmtId="164" fontId="1" fillId="0" borderId="0" xfId="1" applyFont="1" applyAlignment="1">
      <alignment horizontal="right" vertical="center"/>
    </xf>
    <xf numFmtId="164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top" wrapText="1"/>
    </xf>
    <xf numFmtId="164" fontId="17" fillId="2" borderId="0" xfId="0" applyNumberFormat="1" applyFont="1" applyFill="1" applyAlignment="1">
      <alignment horizontal="right" vertical="center" wrapText="1"/>
    </xf>
    <xf numFmtId="2" fontId="17" fillId="2" borderId="0" xfId="0" applyNumberFormat="1" applyFont="1" applyFill="1" applyAlignment="1">
      <alignment vertical="center"/>
    </xf>
    <xf numFmtId="164" fontId="17" fillId="2" borderId="0" xfId="1" applyFont="1" applyFill="1" applyBorder="1" applyAlignment="1">
      <alignment vertical="top"/>
    </xf>
    <xf numFmtId="10" fontId="7" fillId="0" borderId="0" xfId="1" applyNumberFormat="1" applyFont="1" applyFill="1" applyAlignment="1">
      <alignment vertical="center"/>
    </xf>
    <xf numFmtId="172" fontId="1" fillId="0" borderId="0" xfId="1" applyNumberFormat="1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43" fontId="2" fillId="2" borderId="0" xfId="0" applyNumberFormat="1" applyFont="1" applyFill="1" applyAlignment="1">
      <alignment vertical="top"/>
    </xf>
    <xf numFmtId="43" fontId="1" fillId="11" borderId="0" xfId="1" applyNumberFormat="1" applyFont="1" applyFill="1" applyAlignment="1">
      <alignment vertical="center"/>
    </xf>
    <xf numFmtId="0" fontId="1" fillId="11" borderId="0" xfId="1" applyNumberFormat="1" applyFont="1" applyFill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" fontId="1" fillId="0" borderId="23" xfId="0" applyNumberFormat="1" applyFont="1" applyBorder="1" applyAlignment="1">
      <alignment horizontal="center" vertical="center"/>
    </xf>
    <xf numFmtId="0" fontId="35" fillId="9" borderId="31" xfId="0" applyFont="1" applyFill="1" applyBorder="1" applyAlignment="1">
      <alignment horizontal="center" vertical="center" wrapText="1"/>
    </xf>
    <xf numFmtId="0" fontId="35" fillId="9" borderId="33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3" fontId="3" fillId="0" borderId="0" xfId="0" applyNumberFormat="1" applyFont="1" applyAlignment="1">
      <alignment horizontal="center" vertical="center"/>
    </xf>
    <xf numFmtId="2" fontId="1" fillId="11" borderId="0" xfId="1" applyNumberFormat="1" applyFont="1" applyFill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16" fillId="0" borderId="23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43" fontId="7" fillId="0" borderId="23" xfId="0" applyNumberFormat="1" applyFont="1" applyBorder="1" applyAlignment="1">
      <alignment vertical="center"/>
    </xf>
    <xf numFmtId="165" fontId="1" fillId="0" borderId="23" xfId="0" applyNumberFormat="1" applyFont="1" applyBorder="1" applyAlignment="1">
      <alignment vertical="center"/>
    </xf>
    <xf numFmtId="164" fontId="41" fillId="4" borderId="4" xfId="1" applyFont="1" applyFill="1" applyBorder="1" applyAlignment="1">
      <alignment vertical="center"/>
    </xf>
    <xf numFmtId="10" fontId="42" fillId="0" borderId="0" xfId="2" applyNumberFormat="1" applyFont="1" applyAlignment="1">
      <alignment vertical="center"/>
    </xf>
    <xf numFmtId="164" fontId="42" fillId="0" borderId="0" xfId="1" applyFont="1" applyAlignment="1">
      <alignment vertical="center"/>
    </xf>
    <xf numFmtId="164" fontId="3" fillId="12" borderId="4" xfId="1" applyFont="1" applyFill="1" applyBorder="1" applyAlignment="1">
      <alignment vertical="center"/>
    </xf>
    <xf numFmtId="43" fontId="1" fillId="12" borderId="0" xfId="0" applyNumberFormat="1" applyFont="1" applyFill="1" applyAlignment="1">
      <alignment vertical="center"/>
    </xf>
    <xf numFmtId="173" fontId="1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5" fontId="1" fillId="0" borderId="0" xfId="0" applyNumberFormat="1" applyFont="1" applyAlignment="1">
      <alignment vertical="center"/>
    </xf>
    <xf numFmtId="2" fontId="29" fillId="5" borderId="0" xfId="0" applyNumberFormat="1" applyFont="1" applyFill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10" fontId="1" fillId="0" borderId="23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0" fontId="1" fillId="0" borderId="23" xfId="2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168" fontId="1" fillId="0" borderId="23" xfId="0" applyNumberFormat="1" applyFont="1" applyBorder="1" applyAlignment="1">
      <alignment horizontal="center" vertical="center"/>
    </xf>
    <xf numFmtId="43" fontId="1" fillId="0" borderId="23" xfId="0" applyNumberFormat="1" applyFont="1" applyBorder="1" applyAlignment="1">
      <alignment vertical="center"/>
    </xf>
    <xf numFmtId="0" fontId="15" fillId="2" borderId="23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vertical="center" wrapText="1"/>
    </xf>
    <xf numFmtId="0" fontId="18" fillId="2" borderId="23" xfId="3" applyFont="1" applyFill="1" applyBorder="1" applyAlignment="1">
      <alignment vertical="center" wrapText="1"/>
    </xf>
    <xf numFmtId="0" fontId="18" fillId="0" borderId="23" xfId="3" applyFont="1" applyBorder="1" applyAlignment="1">
      <alignment horizontal="center" vertical="center" wrapText="1"/>
    </xf>
    <xf numFmtId="0" fontId="18" fillId="0" borderId="23" xfId="3" applyFont="1" applyBorder="1" applyAlignment="1">
      <alignment horizontal="left" vertical="center" wrapText="1"/>
    </xf>
    <xf numFmtId="2" fontId="18" fillId="0" borderId="23" xfId="3" applyNumberFormat="1" applyFont="1" applyBorder="1" applyAlignment="1">
      <alignment vertical="center" wrapText="1"/>
    </xf>
    <xf numFmtId="0" fontId="18" fillId="0" borderId="23" xfId="3" applyFont="1" applyBorder="1" applyAlignment="1">
      <alignment vertical="center" wrapText="1"/>
    </xf>
    <xf numFmtId="0" fontId="15" fillId="0" borderId="23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left" vertical="center" wrapText="1"/>
    </xf>
    <xf numFmtId="2" fontId="15" fillId="0" borderId="23" xfId="3" applyNumberFormat="1" applyFont="1" applyBorder="1" applyAlignment="1">
      <alignment horizontal="center" vertical="center" wrapText="1"/>
    </xf>
    <xf numFmtId="164" fontId="18" fillId="2" borderId="23" xfId="1" applyFont="1" applyFill="1" applyBorder="1" applyAlignment="1">
      <alignment horizontal="center" vertical="center" wrapText="1"/>
    </xf>
    <xf numFmtId="2" fontId="18" fillId="0" borderId="23" xfId="3" applyNumberFormat="1" applyFont="1" applyBorder="1" applyAlignment="1">
      <alignment horizontal="center" vertical="center" wrapText="1"/>
    </xf>
    <xf numFmtId="164" fontId="15" fillId="2" borderId="23" xfId="1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/>
    </xf>
    <xf numFmtId="0" fontId="18" fillId="2" borderId="23" xfId="3" applyFont="1" applyFill="1" applyBorder="1" applyAlignment="1">
      <alignment horizontal="center" vertical="center" wrapText="1"/>
    </xf>
    <xf numFmtId="164" fontId="18" fillId="0" borderId="23" xfId="1" applyFont="1" applyBorder="1" applyAlignment="1">
      <alignment vertical="center" wrapText="1"/>
    </xf>
    <xf numFmtId="164" fontId="18" fillId="0" borderId="23" xfId="3" applyNumberFormat="1" applyFont="1" applyBorder="1" applyAlignment="1">
      <alignment vertical="center" wrapText="1"/>
    </xf>
    <xf numFmtId="0" fontId="15" fillId="0" borderId="23" xfId="3" applyFont="1" applyBorder="1" applyAlignment="1">
      <alignment vertical="center" wrapText="1"/>
    </xf>
    <xf numFmtId="164" fontId="18" fillId="0" borderId="23" xfId="1" applyFont="1" applyBorder="1" applyAlignment="1">
      <alignment horizontal="center" vertical="center" wrapText="1"/>
    </xf>
    <xf numFmtId="164" fontId="18" fillId="0" borderId="23" xfId="3" applyNumberFormat="1" applyFont="1" applyBorder="1" applyAlignment="1">
      <alignment horizontal="center" vertical="center" wrapText="1"/>
    </xf>
    <xf numFmtId="164" fontId="18" fillId="0" borderId="23" xfId="1" applyFont="1" applyFill="1" applyBorder="1" applyAlignment="1">
      <alignment horizontal="center" vertical="center" wrapText="1"/>
    </xf>
    <xf numFmtId="10" fontId="18" fillId="0" borderId="23" xfId="2" applyNumberFormat="1" applyFont="1" applyBorder="1" applyAlignment="1">
      <alignment horizontal="center" vertical="center" wrapText="1"/>
    </xf>
    <xf numFmtId="164" fontId="15" fillId="0" borderId="23" xfId="1" applyFont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20" fillId="8" borderId="23" xfId="3" applyFont="1" applyFill="1" applyBorder="1" applyAlignment="1">
      <alignment horizontal="center" vertical="top" wrapText="1"/>
    </xf>
    <xf numFmtId="0" fontId="20" fillId="8" borderId="23" xfId="3" applyFont="1" applyFill="1" applyBorder="1" applyAlignment="1">
      <alignment horizontal="left" vertical="center" wrapText="1"/>
    </xf>
    <xf numFmtId="0" fontId="18" fillId="8" borderId="23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left" vertical="center" wrapText="1"/>
    </xf>
    <xf numFmtId="0" fontId="21" fillId="0" borderId="23" xfId="3" applyFont="1" applyBorder="1" applyAlignment="1">
      <alignment vertical="center" wrapText="1"/>
    </xf>
    <xf numFmtId="0" fontId="21" fillId="0" borderId="23" xfId="3" applyFont="1" applyFill="1" applyBorder="1" applyAlignment="1">
      <alignment vertical="center" wrapText="1"/>
    </xf>
    <xf numFmtId="0" fontId="22" fillId="0" borderId="23" xfId="3" applyFont="1" applyBorder="1" applyAlignment="1">
      <alignment vertical="center"/>
    </xf>
    <xf numFmtId="0" fontId="43" fillId="9" borderId="25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vertical="center"/>
    </xf>
    <xf numFmtId="0" fontId="15" fillId="2" borderId="23" xfId="3" applyFont="1" applyFill="1" applyBorder="1" applyAlignment="1">
      <alignment horizontal="left" vertical="center"/>
    </xf>
    <xf numFmtId="0" fontId="18" fillId="2" borderId="23" xfId="3" applyFont="1" applyFill="1" applyBorder="1" applyAlignment="1">
      <alignment horizontal="left" vertical="center"/>
    </xf>
    <xf numFmtId="164" fontId="18" fillId="2" borderId="23" xfId="1" applyFont="1" applyFill="1" applyBorder="1" applyAlignment="1">
      <alignment horizontal="center" vertical="center"/>
    </xf>
    <xf numFmtId="0" fontId="18" fillId="0" borderId="23" xfId="3" applyFont="1" applyBorder="1" applyAlignment="1">
      <alignment vertical="center"/>
    </xf>
    <xf numFmtId="0" fontId="21" fillId="0" borderId="23" xfId="3" applyFont="1" applyBorder="1" applyAlignment="1">
      <alignment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center" vertical="center"/>
    </xf>
    <xf numFmtId="0" fontId="18" fillId="2" borderId="23" xfId="3" applyFont="1" applyFill="1" applyBorder="1" applyAlignment="1">
      <alignment horizontal="center" vertical="center"/>
    </xf>
    <xf numFmtId="166" fontId="18" fillId="8" borderId="23" xfId="3" applyNumberFormat="1" applyFont="1" applyFill="1" applyBorder="1" applyAlignment="1">
      <alignment horizontal="center" vertical="center" wrapText="1"/>
    </xf>
    <xf numFmtId="166" fontId="15" fillId="2" borderId="23" xfId="3" applyNumberFormat="1" applyFont="1" applyFill="1" applyBorder="1" applyAlignment="1">
      <alignment horizontal="center" vertical="center" wrapText="1"/>
    </xf>
    <xf numFmtId="166" fontId="15" fillId="2" borderId="23" xfId="3" applyNumberFormat="1" applyFont="1" applyFill="1" applyBorder="1" applyAlignment="1">
      <alignment horizontal="left" vertical="center" wrapText="1"/>
    </xf>
    <xf numFmtId="10" fontId="15" fillId="2" borderId="23" xfId="2" applyNumberFormat="1" applyFont="1" applyFill="1" applyBorder="1" applyAlignment="1">
      <alignment horizontal="center" vertical="center" wrapText="1"/>
    </xf>
    <xf numFmtId="166" fontId="18" fillId="2" borderId="23" xfId="3" applyNumberFormat="1" applyFont="1" applyFill="1" applyBorder="1" applyAlignment="1">
      <alignment horizontal="center" vertical="center" wrapText="1"/>
    </xf>
    <xf numFmtId="166" fontId="18" fillId="2" borderId="23" xfId="3" applyNumberFormat="1" applyFont="1" applyFill="1" applyBorder="1" applyAlignment="1">
      <alignment horizontal="left" vertical="center" wrapText="1"/>
    </xf>
    <xf numFmtId="10" fontId="18" fillId="2" borderId="23" xfId="2" applyNumberFormat="1" applyFont="1" applyFill="1" applyBorder="1" applyAlignment="1">
      <alignment horizontal="center" vertical="center" wrapText="1"/>
    </xf>
    <xf numFmtId="0" fontId="44" fillId="9" borderId="41" xfId="7" applyFont="1" applyFill="1" applyBorder="1" applyAlignment="1">
      <alignment horizontal="center" vertical="center" wrapText="1"/>
    </xf>
    <xf numFmtId="0" fontId="44" fillId="9" borderId="42" xfId="7" applyFont="1" applyFill="1" applyBorder="1" applyAlignment="1">
      <alignment horizontal="center" vertical="center" wrapText="1"/>
    </xf>
    <xf numFmtId="0" fontId="44" fillId="9" borderId="43" xfId="7" applyFont="1" applyFill="1" applyBorder="1" applyAlignment="1">
      <alignment horizontal="center" vertical="center" wrapText="1"/>
    </xf>
    <xf numFmtId="0" fontId="23" fillId="2" borderId="23" xfId="7" applyFont="1" applyFill="1" applyBorder="1" applyAlignment="1">
      <alignment horizontal="center" vertical="center" wrapText="1"/>
    </xf>
    <xf numFmtId="0" fontId="23" fillId="0" borderId="23" xfId="7" applyFont="1" applyBorder="1" applyAlignment="1">
      <alignment horizontal="center" vertical="center"/>
    </xf>
    <xf numFmtId="164" fontId="20" fillId="0" borderId="23" xfId="1" applyFont="1" applyFill="1" applyBorder="1" applyAlignment="1">
      <alignment horizontal="center" vertical="center"/>
    </xf>
    <xf numFmtId="164" fontId="18" fillId="0" borderId="23" xfId="1" applyFont="1" applyFill="1" applyBorder="1" applyAlignment="1">
      <alignment horizontal="center" vertical="center"/>
    </xf>
    <xf numFmtId="10" fontId="18" fillId="0" borderId="23" xfId="2" applyNumberFormat="1" applyFont="1" applyFill="1" applyBorder="1" applyAlignment="1">
      <alignment horizontal="center" vertical="center"/>
    </xf>
    <xf numFmtId="0" fontId="15" fillId="0" borderId="23" xfId="7" applyFont="1" applyBorder="1" applyAlignment="1">
      <alignment horizontal="center" vertical="center"/>
    </xf>
    <xf numFmtId="10" fontId="18" fillId="0" borderId="23" xfId="7" applyNumberFormat="1" applyFont="1" applyBorder="1" applyAlignment="1">
      <alignment horizontal="center" vertical="center"/>
    </xf>
    <xf numFmtId="0" fontId="20" fillId="0" borderId="23" xfId="7" applyFont="1" applyBorder="1" applyAlignment="1">
      <alignment horizontal="center" vertical="center"/>
    </xf>
    <xf numFmtId="0" fontId="44" fillId="9" borderId="41" xfId="3" applyFont="1" applyFill="1" applyBorder="1" applyAlignment="1">
      <alignment horizontal="center" vertical="center" wrapText="1"/>
    </xf>
    <xf numFmtId="0" fontId="44" fillId="9" borderId="42" xfId="3" applyFont="1" applyFill="1" applyBorder="1" applyAlignment="1">
      <alignment horizontal="center" vertical="center" wrapText="1"/>
    </xf>
    <xf numFmtId="0" fontId="44" fillId="9" borderId="43" xfId="3" applyFont="1" applyFill="1" applyBorder="1" applyAlignment="1">
      <alignment horizontal="center" vertical="center" wrapText="1"/>
    </xf>
    <xf numFmtId="166" fontId="20" fillId="8" borderId="23" xfId="3" applyNumberFormat="1" applyFont="1" applyFill="1" applyBorder="1" applyAlignment="1">
      <alignment horizontal="left" vertical="center" wrapText="1"/>
    </xf>
    <xf numFmtId="166" fontId="18" fillId="8" borderId="23" xfId="3" applyNumberFormat="1" applyFont="1" applyFill="1" applyBorder="1" applyAlignment="1">
      <alignment horizontal="left" vertical="center" wrapText="1"/>
    </xf>
    <xf numFmtId="0" fontId="15" fillId="0" borderId="24" xfId="3" applyFont="1" applyBorder="1" applyAlignment="1">
      <alignment horizontal="center" vertical="center" wrapText="1"/>
    </xf>
    <xf numFmtId="0" fontId="18" fillId="0" borderId="40" xfId="3" applyFont="1" applyBorder="1" applyAlignment="1">
      <alignment vertical="center" wrapText="1"/>
    </xf>
    <xf numFmtId="0" fontId="15" fillId="0" borderId="41" xfId="3" applyFont="1" applyBorder="1" applyAlignment="1">
      <alignment horizontal="center" vertical="center" wrapText="1"/>
    </xf>
    <xf numFmtId="0" fontId="21" fillId="0" borderId="42" xfId="7" applyFont="1" applyBorder="1" applyAlignment="1">
      <alignment horizontal="left" vertical="center"/>
    </xf>
    <xf numFmtId="0" fontId="18" fillId="0" borderId="43" xfId="3" applyFont="1" applyBorder="1" applyAlignment="1">
      <alignment vertical="center" wrapText="1"/>
    </xf>
    <xf numFmtId="10" fontId="18" fillId="0" borderId="23" xfId="2" applyNumberFormat="1" applyFont="1" applyBorder="1" applyAlignment="1">
      <alignment vertical="center" wrapText="1"/>
    </xf>
    <xf numFmtId="10" fontId="18" fillId="0" borderId="23" xfId="3" applyNumberFormat="1" applyFont="1" applyBorder="1" applyAlignment="1">
      <alignment vertical="center" wrapText="1"/>
    </xf>
    <xf numFmtId="164" fontId="15" fillId="0" borderId="23" xfId="1" applyFont="1" applyBorder="1" applyAlignment="1">
      <alignment vertical="center" wrapText="1"/>
    </xf>
    <xf numFmtId="166" fontId="15" fillId="8" borderId="23" xfId="3" applyNumberFormat="1" applyFont="1" applyFill="1" applyBorder="1" applyAlignment="1">
      <alignment horizontal="left" vertical="center" wrapText="1"/>
    </xf>
    <xf numFmtId="166" fontId="15" fillId="8" borderId="23" xfId="3" applyNumberFormat="1" applyFont="1" applyFill="1" applyBorder="1" applyAlignment="1">
      <alignment horizontal="center" vertical="center" wrapText="1"/>
    </xf>
    <xf numFmtId="166" fontId="23" fillId="8" borderId="23" xfId="3" applyNumberFormat="1" applyFont="1" applyFill="1" applyBorder="1" applyAlignment="1">
      <alignment horizontal="left" vertical="center" wrapText="1"/>
    </xf>
    <xf numFmtId="167" fontId="23" fillId="8" borderId="23" xfId="3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vertical="center" wrapText="1"/>
    </xf>
    <xf numFmtId="0" fontId="18" fillId="0" borderId="41" xfId="3" applyFont="1" applyBorder="1" applyAlignment="1">
      <alignment vertical="center" wrapText="1"/>
    </xf>
    <xf numFmtId="0" fontId="15" fillId="0" borderId="42" xfId="3" applyFont="1" applyBorder="1" applyAlignment="1">
      <alignment vertical="center"/>
    </xf>
    <xf numFmtId="0" fontId="18" fillId="0" borderId="42" xfId="3" applyFont="1" applyBorder="1" applyAlignment="1">
      <alignment vertical="center" wrapText="1"/>
    </xf>
    <xf numFmtId="0" fontId="44" fillId="9" borderId="41" xfId="8" applyFont="1" applyFill="1" applyBorder="1" applyAlignment="1">
      <alignment horizontal="center" vertical="center" wrapText="1"/>
    </xf>
    <xf numFmtId="0" fontId="44" fillId="9" borderId="42" xfId="8" applyFont="1" applyFill="1" applyBorder="1" applyAlignment="1">
      <alignment horizontal="center" vertical="center" wrapText="1"/>
    </xf>
    <xf numFmtId="0" fontId="44" fillId="9" borderId="43" xfId="8" applyFont="1" applyFill="1" applyBorder="1" applyAlignment="1">
      <alignment horizontal="center" vertical="center" wrapText="1"/>
    </xf>
    <xf numFmtId="0" fontId="18" fillId="0" borderId="23" xfId="8" applyFont="1" applyBorder="1" applyAlignment="1">
      <alignment vertical="center" wrapText="1"/>
    </xf>
    <xf numFmtId="0" fontId="15" fillId="0" borderId="23" xfId="8" applyFont="1" applyBorder="1" applyAlignment="1">
      <alignment horizontal="center" vertical="center" wrapText="1"/>
    </xf>
    <xf numFmtId="0" fontId="15" fillId="0" borderId="23" xfId="8" applyFont="1" applyBorder="1" applyAlignment="1">
      <alignment vertical="center" wrapText="1"/>
    </xf>
    <xf numFmtId="0" fontId="18" fillId="0" borderId="23" xfId="8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15" fillId="2" borderId="23" xfId="8" applyFont="1" applyFill="1" applyBorder="1" applyAlignment="1">
      <alignment horizontal="center" vertical="center" wrapText="1"/>
    </xf>
    <xf numFmtId="0" fontId="15" fillId="2" borderId="23" xfId="8" applyFont="1" applyFill="1" applyBorder="1" applyAlignment="1">
      <alignment vertical="center" wrapText="1"/>
    </xf>
    <xf numFmtId="0" fontId="18" fillId="2" borderId="23" xfId="8" applyFont="1" applyFill="1" applyBorder="1" applyAlignment="1">
      <alignment horizontal="center" vertical="center" wrapText="1"/>
    </xf>
    <xf numFmtId="2" fontId="15" fillId="2" borderId="23" xfId="1" applyNumberFormat="1" applyFont="1" applyFill="1" applyBorder="1" applyAlignment="1">
      <alignment horizontal="center" vertical="center" wrapText="1"/>
    </xf>
    <xf numFmtId="0" fontId="15" fillId="2" borderId="24" xfId="8" applyFont="1" applyFill="1" applyBorder="1" applyAlignment="1">
      <alignment horizontal="center" vertical="center" wrapText="1"/>
    </xf>
    <xf numFmtId="0" fontId="15" fillId="0" borderId="42" xfId="3" applyFont="1" applyBorder="1" applyAlignment="1">
      <alignment horizontal="left" vertical="center"/>
    </xf>
    <xf numFmtId="164" fontId="18" fillId="0" borderId="42" xfId="3" applyNumberFormat="1" applyFont="1" applyBorder="1" applyAlignment="1">
      <alignment vertical="center" wrapText="1"/>
    </xf>
    <xf numFmtId="0" fontId="20" fillId="0" borderId="23" xfId="3" applyFont="1" applyBorder="1" applyAlignment="1">
      <alignment horizontal="center" vertical="center" wrapText="1"/>
    </xf>
    <xf numFmtId="0" fontId="23" fillId="0" borderId="23" xfId="3" applyFont="1" applyBorder="1" applyAlignment="1">
      <alignment horizontal="center" vertical="center" wrapText="1"/>
    </xf>
    <xf numFmtId="164" fontId="18" fillId="0" borderId="23" xfId="3" applyNumberFormat="1" applyFont="1" applyBorder="1" applyAlignment="1">
      <alignment horizontal="center" vertical="center"/>
    </xf>
    <xf numFmtId="4" fontId="18" fillId="0" borderId="23" xfId="3" applyNumberFormat="1" applyFont="1" applyBorder="1" applyAlignment="1">
      <alignment horizontal="center" vertical="center"/>
    </xf>
    <xf numFmtId="43" fontId="18" fillId="0" borderId="23" xfId="3" applyNumberFormat="1" applyFont="1" applyBorder="1" applyAlignment="1">
      <alignment horizontal="center" vertical="center"/>
    </xf>
    <xf numFmtId="4" fontId="18" fillId="0" borderId="23" xfId="3" applyNumberFormat="1" applyFont="1" applyBorder="1" applyAlignment="1">
      <alignment horizontal="center" vertical="center" wrapText="1"/>
    </xf>
    <xf numFmtId="164" fontId="15" fillId="0" borderId="23" xfId="3" applyNumberFormat="1" applyFont="1" applyBorder="1" applyAlignment="1">
      <alignment horizontal="center" vertical="center" wrapText="1"/>
    </xf>
    <xf numFmtId="43" fontId="18" fillId="0" borderId="23" xfId="3" applyNumberFormat="1" applyFont="1" applyBorder="1" applyAlignment="1">
      <alignment horizontal="center" vertical="center" wrapText="1"/>
    </xf>
    <xf numFmtId="164" fontId="15" fillId="2" borderId="23" xfId="3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164" fontId="1" fillId="0" borderId="25" xfId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164" fontId="1" fillId="0" borderId="42" xfId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164" fontId="7" fillId="2" borderId="23" xfId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164" fontId="1" fillId="2" borderId="0" xfId="1" applyFont="1" applyFill="1" applyAlignment="1">
      <alignment horizontal="right" vertical="center"/>
    </xf>
    <xf numFmtId="43" fontId="1" fillId="2" borderId="0" xfId="0" applyNumberFormat="1" applyFont="1" applyFill="1" applyAlignment="1">
      <alignment vertical="center"/>
    </xf>
    <xf numFmtId="0" fontId="15" fillId="0" borderId="37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left" vertical="center"/>
    </xf>
    <xf numFmtId="0" fontId="18" fillId="0" borderId="38" xfId="3" applyFont="1" applyBorder="1" applyAlignment="1">
      <alignment vertical="center" wrapText="1"/>
    </xf>
    <xf numFmtId="0" fontId="18" fillId="0" borderId="39" xfId="3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7" fillId="2" borderId="23" xfId="1" applyFont="1" applyFill="1" applyBorder="1" applyAlignment="1">
      <alignment vertical="center"/>
    </xf>
    <xf numFmtId="2" fontId="16" fillId="0" borderId="23" xfId="1" applyNumberFormat="1" applyFont="1" applyBorder="1" applyAlignment="1">
      <alignment vertical="center"/>
    </xf>
    <xf numFmtId="2" fontId="16" fillId="0" borderId="23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80" fontId="1" fillId="0" borderId="0" xfId="1" applyNumberFormat="1" applyFont="1" applyFill="1" applyAlignment="1">
      <alignment vertical="center"/>
    </xf>
    <xf numFmtId="0" fontId="42" fillId="0" borderId="0" xfId="0" applyFont="1" applyAlignment="1">
      <alignment vertical="center"/>
    </xf>
    <xf numFmtId="178" fontId="3" fillId="4" borderId="5" xfId="1" applyNumberFormat="1" applyFont="1" applyFill="1" applyBorder="1" applyAlignment="1">
      <alignment vertical="center"/>
    </xf>
    <xf numFmtId="2" fontId="42" fillId="0" borderId="0" xfId="0" applyNumberFormat="1" applyFont="1" applyAlignment="1">
      <alignment vertical="center"/>
    </xf>
    <xf numFmtId="179" fontId="3" fillId="4" borderId="4" xfId="0" applyNumberFormat="1" applyFont="1" applyFill="1" applyBorder="1" applyAlignment="1">
      <alignment vertical="center"/>
    </xf>
    <xf numFmtId="179" fontId="39" fillId="0" borderId="0" xfId="0" applyNumberFormat="1" applyFont="1" applyAlignment="1">
      <alignment vertical="center"/>
    </xf>
    <xf numFmtId="43" fontId="42" fillId="2" borderId="0" xfId="0" applyNumberFormat="1" applyFont="1" applyFill="1" applyAlignment="1">
      <alignment vertical="center"/>
    </xf>
    <xf numFmtId="164" fontId="46" fillId="0" borderId="0" xfId="1" applyFont="1" applyFill="1" applyAlignment="1">
      <alignment vertical="center"/>
    </xf>
    <xf numFmtId="9" fontId="1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2" fontId="18" fillId="0" borderId="23" xfId="1" applyNumberFormat="1" applyFont="1" applyFill="1" applyBorder="1" applyAlignment="1">
      <alignment horizontal="center" vertical="center" wrapText="1"/>
    </xf>
    <xf numFmtId="2" fontId="15" fillId="0" borderId="23" xfId="1" applyNumberFormat="1" applyFont="1" applyBorder="1" applyAlignment="1">
      <alignment horizontal="center" vertical="center" wrapText="1"/>
    </xf>
    <xf numFmtId="164" fontId="18" fillId="0" borderId="30" xfId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0" fontId="18" fillId="0" borderId="37" xfId="3" applyFont="1" applyBorder="1" applyAlignment="1">
      <alignment vertical="center" wrapText="1"/>
    </xf>
    <xf numFmtId="2" fontId="18" fillId="0" borderId="23" xfId="2" applyNumberFormat="1" applyFont="1" applyBorder="1" applyAlignment="1">
      <alignment vertical="center" wrapText="1"/>
    </xf>
    <xf numFmtId="43" fontId="18" fillId="0" borderId="23" xfId="3" applyNumberFormat="1" applyFont="1" applyBorder="1" applyAlignment="1">
      <alignment vertical="center" wrapText="1"/>
    </xf>
    <xf numFmtId="182" fontId="7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81" fontId="16" fillId="0" borderId="23" xfId="1" applyNumberFormat="1" applyFont="1" applyBorder="1" applyAlignment="1">
      <alignment vertical="center"/>
    </xf>
    <xf numFmtId="182" fontId="1" fillId="0" borderId="0" xfId="0" applyNumberFormat="1" applyFont="1" applyAlignment="1">
      <alignment vertical="center"/>
    </xf>
    <xf numFmtId="0" fontId="4" fillId="9" borderId="4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7" fillId="9" borderId="0" xfId="0" applyFont="1" applyFill="1" applyAlignment="1">
      <alignment vertical="center"/>
    </xf>
    <xf numFmtId="43" fontId="1" fillId="3" borderId="0" xfId="0" applyNumberFormat="1" applyFont="1" applyFill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2" fontId="36" fillId="0" borderId="0" xfId="0" applyNumberFormat="1" applyFont="1" applyAlignment="1">
      <alignment horizontal="center" vertical="center"/>
    </xf>
    <xf numFmtId="183" fontId="7" fillId="0" borderId="0" xfId="0" applyNumberFormat="1" applyFont="1" applyAlignment="1">
      <alignment vertical="center"/>
    </xf>
    <xf numFmtId="184" fontId="16" fillId="0" borderId="23" xfId="0" applyNumberFormat="1" applyFont="1" applyBorder="1" applyAlignment="1">
      <alignment vertical="center"/>
    </xf>
    <xf numFmtId="184" fontId="1" fillId="12" borderId="0" xfId="0" applyNumberFormat="1" applyFont="1" applyFill="1" applyAlignment="1">
      <alignment vertical="center"/>
    </xf>
    <xf numFmtId="164" fontId="7" fillId="0" borderId="23" xfId="1" applyFont="1" applyFill="1" applyBorder="1" applyAlignment="1">
      <alignment horizontal="center" vertical="center"/>
    </xf>
    <xf numFmtId="178" fontId="7" fillId="0" borderId="23" xfId="0" applyNumberFormat="1" applyFont="1" applyBorder="1" applyAlignment="1">
      <alignment vertical="center"/>
    </xf>
    <xf numFmtId="164" fontId="3" fillId="0" borderId="23" xfId="1" applyFont="1" applyFill="1" applyBorder="1" applyAlignment="1">
      <alignment horizontal="center" vertical="center"/>
    </xf>
    <xf numFmtId="164" fontId="16" fillId="0" borderId="23" xfId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164" fontId="1" fillId="0" borderId="23" xfId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84" fontId="16" fillId="0" borderId="23" xfId="1" applyNumberFormat="1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0" fontId="16" fillId="0" borderId="4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47" fillId="3" borderId="0" xfId="0" applyFont="1" applyFill="1" applyAlignment="1">
      <alignment vertical="center"/>
    </xf>
    <xf numFmtId="171" fontId="3" fillId="13" borderId="4" xfId="0" applyNumberFormat="1" applyFont="1" applyFill="1" applyBorder="1" applyAlignment="1">
      <alignment vertical="center"/>
    </xf>
    <xf numFmtId="164" fontId="3" fillId="13" borderId="4" xfId="1" applyFont="1" applyFill="1" applyBorder="1" applyAlignment="1">
      <alignment vertical="center"/>
    </xf>
    <xf numFmtId="185" fontId="3" fillId="4" borderId="5" xfId="1" applyNumberFormat="1" applyFont="1" applyFill="1" applyBorder="1" applyAlignment="1">
      <alignment vertical="center"/>
    </xf>
    <xf numFmtId="0" fontId="35" fillId="9" borderId="34" xfId="0" applyFont="1" applyFill="1" applyBorder="1" applyAlignment="1">
      <alignment horizontal="center" vertical="center"/>
    </xf>
    <xf numFmtId="0" fontId="39" fillId="14" borderId="23" xfId="0" applyFont="1" applyFill="1" applyBorder="1"/>
    <xf numFmtId="0" fontId="0" fillId="0" borderId="23" xfId="0" applyBorder="1"/>
    <xf numFmtId="2" fontId="0" fillId="0" borderId="23" xfId="0" applyNumberFormat="1" applyBorder="1"/>
    <xf numFmtId="164" fontId="0" fillId="0" borderId="23" xfId="1" applyFont="1" applyBorder="1"/>
    <xf numFmtId="10" fontId="0" fillId="0" borderId="23" xfId="0" applyNumberFormat="1" applyBorder="1"/>
    <xf numFmtId="0" fontId="35" fillId="9" borderId="47" xfId="0" applyFont="1" applyFill="1" applyBorder="1" applyAlignment="1">
      <alignment horizontal="center" vertical="center" wrapText="1"/>
    </xf>
    <xf numFmtId="0" fontId="35" fillId="9" borderId="48" xfId="0" applyFont="1" applyFill="1" applyBorder="1" applyAlignment="1">
      <alignment horizontal="center" vertical="center" wrapText="1"/>
    </xf>
    <xf numFmtId="0" fontId="35" fillId="9" borderId="48" xfId="0" applyFont="1" applyFill="1" applyBorder="1" applyAlignment="1">
      <alignment horizontal="justify" vertical="center" wrapText="1"/>
    </xf>
    <xf numFmtId="0" fontId="28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justify" vertical="center" wrapText="1"/>
    </xf>
    <xf numFmtId="0" fontId="29" fillId="15" borderId="50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justify" vertical="center" wrapText="1"/>
    </xf>
    <xf numFmtId="2" fontId="29" fillId="15" borderId="50" xfId="0" applyNumberFormat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justify" vertical="center" wrapText="1"/>
    </xf>
    <xf numFmtId="2" fontId="36" fillId="15" borderId="50" xfId="0" applyNumberFormat="1" applyFont="1" applyFill="1" applyBorder="1" applyAlignment="1">
      <alignment horizontal="center" vertical="center" wrapText="1"/>
    </xf>
    <xf numFmtId="0" fontId="29" fillId="15" borderId="28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2" fontId="36" fillId="15" borderId="28" xfId="0" applyNumberFormat="1" applyFont="1" applyFill="1" applyBorder="1" applyAlignment="1">
      <alignment horizontal="center" vertical="center" wrapText="1"/>
    </xf>
    <xf numFmtId="0" fontId="35" fillId="9" borderId="51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left" vertical="center" wrapText="1"/>
    </xf>
    <xf numFmtId="186" fontId="7" fillId="0" borderId="0" xfId="0" applyNumberFormat="1" applyFont="1" applyAlignment="1">
      <alignment vertical="center"/>
    </xf>
    <xf numFmtId="177" fontId="16" fillId="0" borderId="23" xfId="0" applyNumberFormat="1" applyFont="1" applyBorder="1" applyAlignment="1">
      <alignment vertical="center"/>
    </xf>
    <xf numFmtId="184" fontId="1" fillId="0" borderId="0" xfId="0" applyNumberFormat="1" applyFont="1" applyAlignment="1">
      <alignment vertical="center"/>
    </xf>
    <xf numFmtId="186" fontId="1" fillId="0" borderId="0" xfId="0" applyNumberFormat="1" applyFont="1" applyAlignment="1">
      <alignment vertical="center"/>
    </xf>
    <xf numFmtId="10" fontId="3" fillId="4" borderId="0" xfId="2" applyNumberFormat="1" applyFont="1" applyFill="1" applyBorder="1" applyAlignment="1">
      <alignment horizontal="right" vertical="center"/>
    </xf>
    <xf numFmtId="187" fontId="1" fillId="0" borderId="0" xfId="0" applyNumberFormat="1" applyFont="1" applyAlignment="1">
      <alignment vertical="center"/>
    </xf>
    <xf numFmtId="0" fontId="45" fillId="9" borderId="0" xfId="3" applyFont="1" applyFill="1" applyBorder="1" applyAlignment="1">
      <alignment vertical="center"/>
    </xf>
    <xf numFmtId="0" fontId="45" fillId="9" borderId="0" xfId="3" applyFont="1" applyFill="1" applyBorder="1" applyAlignment="1">
      <alignment vertical="center" wrapText="1"/>
    </xf>
    <xf numFmtId="0" fontId="44" fillId="9" borderId="23" xfId="3" applyFont="1" applyFill="1" applyBorder="1" applyAlignment="1">
      <alignment horizontal="center" vertical="center" wrapText="1"/>
    </xf>
    <xf numFmtId="0" fontId="44" fillId="9" borderId="23" xfId="3" applyFont="1" applyFill="1" applyBorder="1" applyAlignment="1">
      <alignment horizontal="center" vertical="center"/>
    </xf>
    <xf numFmtId="0" fontId="44" fillId="9" borderId="23" xfId="3" applyFont="1" applyFill="1" applyBorder="1" applyAlignment="1">
      <alignment vertical="center" wrapText="1"/>
    </xf>
    <xf numFmtId="0" fontId="44" fillId="9" borderId="0" xfId="3" applyFont="1" applyFill="1" applyBorder="1" applyAlignment="1">
      <alignment vertical="center"/>
    </xf>
    <xf numFmtId="0" fontId="49" fillId="9" borderId="0" xfId="3" applyFont="1" applyFill="1" applyBorder="1" applyAlignment="1">
      <alignment vertical="center"/>
    </xf>
    <xf numFmtId="188" fontId="1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0" fontId="50" fillId="0" borderId="0" xfId="0" applyFont="1"/>
    <xf numFmtId="2" fontId="0" fillId="16" borderId="23" xfId="0" applyNumberFormat="1" applyFill="1" applyBorder="1" applyAlignment="1">
      <alignment horizontal="center"/>
    </xf>
    <xf numFmtId="164" fontId="42" fillId="2" borderId="0" xfId="0" applyNumberFormat="1" applyFont="1" applyFill="1" applyAlignment="1">
      <alignment vertical="center"/>
    </xf>
    <xf numFmtId="2" fontId="3" fillId="4" borderId="5" xfId="1" applyNumberFormat="1" applyFont="1" applyFill="1" applyBorder="1" applyAlignment="1">
      <alignment vertical="center"/>
    </xf>
    <xf numFmtId="2" fontId="29" fillId="0" borderId="0" xfId="0" applyNumberFormat="1" applyFont="1" applyAlignment="1">
      <alignment horizontal="left" vertical="center"/>
    </xf>
    <xf numFmtId="0" fontId="29" fillId="5" borderId="50" xfId="0" applyFont="1" applyFill="1" applyBorder="1" applyAlignment="1">
      <alignment horizontal="center" vertical="center" wrapText="1"/>
    </xf>
    <xf numFmtId="2" fontId="15" fillId="0" borderId="23" xfId="3" applyNumberFormat="1" applyFont="1" applyBorder="1" applyAlignment="1">
      <alignment vertical="center" wrapText="1"/>
    </xf>
    <xf numFmtId="10" fontId="15" fillId="0" borderId="23" xfId="2" applyNumberFormat="1" applyFont="1" applyBorder="1" applyAlignment="1">
      <alignment vertical="center"/>
    </xf>
    <xf numFmtId="189" fontId="1" fillId="0" borderId="0" xfId="0" applyNumberFormat="1" applyFont="1" applyAlignment="1">
      <alignment vertical="center"/>
    </xf>
    <xf numFmtId="190" fontId="1" fillId="0" borderId="0" xfId="0" applyNumberFormat="1" applyFont="1" applyAlignment="1">
      <alignment vertical="center"/>
    </xf>
    <xf numFmtId="0" fontId="29" fillId="0" borderId="28" xfId="0" applyFont="1" applyBorder="1" applyAlignment="1">
      <alignment horizontal="center" vertical="center"/>
    </xf>
    <xf numFmtId="0" fontId="36" fillId="15" borderId="28" xfId="0" applyFont="1" applyFill="1" applyBorder="1" applyAlignment="1">
      <alignment horizontal="center" vertical="center" wrapText="1"/>
    </xf>
    <xf numFmtId="10" fontId="36" fillId="15" borderId="28" xfId="0" applyNumberFormat="1" applyFont="1" applyFill="1" applyBorder="1" applyAlignment="1">
      <alignment horizontal="center" vertical="center" wrapText="1"/>
    </xf>
    <xf numFmtId="0" fontId="44" fillId="0" borderId="23" xfId="8" applyFont="1" applyFill="1" applyBorder="1" applyAlignment="1">
      <alignment horizontal="center" vertical="center" wrapText="1"/>
    </xf>
    <xf numFmtId="0" fontId="28" fillId="0" borderId="0" xfId="0" applyFont="1"/>
    <xf numFmtId="164" fontId="15" fillId="2" borderId="0" xfId="1" applyFont="1" applyFill="1" applyBorder="1" applyAlignment="1">
      <alignment horizontal="center" vertical="center" wrapText="1"/>
    </xf>
    <xf numFmtId="177" fontId="15" fillId="2" borderId="40" xfId="1" applyNumberFormat="1" applyFont="1" applyFill="1" applyBorder="1" applyAlignment="1">
      <alignment horizontal="center" vertical="center" wrapText="1"/>
    </xf>
    <xf numFmtId="2" fontId="15" fillId="2" borderId="30" xfId="1" applyNumberFormat="1" applyFont="1" applyFill="1" applyBorder="1" applyAlignment="1">
      <alignment horizontal="center" vertical="center" wrapText="1"/>
    </xf>
    <xf numFmtId="0" fontId="15" fillId="2" borderId="37" xfId="8" applyFont="1" applyFill="1" applyBorder="1" applyAlignment="1">
      <alignment horizontal="center" vertical="center" wrapText="1"/>
    </xf>
    <xf numFmtId="0" fontId="15" fillId="2" borderId="38" xfId="8" applyFont="1" applyFill="1" applyBorder="1" applyAlignment="1">
      <alignment vertical="center" wrapText="1"/>
    </xf>
    <xf numFmtId="164" fontId="44" fillId="0" borderId="38" xfId="1" applyFont="1" applyFill="1" applyBorder="1" applyAlignment="1">
      <alignment vertical="center" wrapText="1"/>
    </xf>
    <xf numFmtId="2" fontId="45" fillId="0" borderId="38" xfId="3" applyNumberFormat="1" applyFont="1" applyFill="1" applyBorder="1" applyAlignment="1">
      <alignment vertical="center" wrapText="1"/>
    </xf>
    <xf numFmtId="2" fontId="45" fillId="0" borderId="39" xfId="3" applyNumberFormat="1" applyFont="1" applyFill="1" applyBorder="1" applyAlignment="1">
      <alignment vertical="center" wrapText="1"/>
    </xf>
    <xf numFmtId="2" fontId="45" fillId="0" borderId="42" xfId="3" applyNumberFormat="1" applyFont="1" applyFill="1" applyBorder="1" applyAlignment="1">
      <alignment vertical="center" wrapText="1"/>
    </xf>
    <xf numFmtId="2" fontId="45" fillId="0" borderId="43" xfId="3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5" fillId="9" borderId="34" xfId="0" applyFont="1" applyFill="1" applyBorder="1" applyAlignment="1">
      <alignment horizontal="center" vertical="center"/>
    </xf>
    <xf numFmtId="0" fontId="35" fillId="9" borderId="35" xfId="0" applyFont="1" applyFill="1" applyBorder="1" applyAlignment="1">
      <alignment horizontal="center" vertical="center"/>
    </xf>
    <xf numFmtId="0" fontId="35" fillId="9" borderId="31" xfId="0" applyFont="1" applyFill="1" applyBorder="1" applyAlignment="1">
      <alignment horizontal="center" vertical="center"/>
    </xf>
    <xf numFmtId="0" fontId="35" fillId="9" borderId="36" xfId="0" applyFont="1" applyFill="1" applyBorder="1" applyAlignment="1">
      <alignment horizontal="center" vertical="center"/>
    </xf>
    <xf numFmtId="0" fontId="35" fillId="9" borderId="31" xfId="0" applyFont="1" applyFill="1" applyBorder="1" applyAlignment="1">
      <alignment horizontal="center" vertical="center" wrapText="1"/>
    </xf>
    <xf numFmtId="0" fontId="35" fillId="9" borderId="3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5" fillId="9" borderId="32" xfId="0" applyFont="1" applyFill="1" applyBorder="1" applyAlignment="1">
      <alignment horizontal="center" vertical="center"/>
    </xf>
    <xf numFmtId="10" fontId="3" fillId="4" borderId="0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  <xf numFmtId="0" fontId="35" fillId="9" borderId="23" xfId="0" applyFont="1" applyFill="1" applyBorder="1" applyAlignment="1">
      <alignment horizontal="center" vertical="center"/>
    </xf>
    <xf numFmtId="2" fontId="37" fillId="0" borderId="30" xfId="0" applyNumberFormat="1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9" borderId="27" xfId="0" applyFont="1" applyFill="1" applyBorder="1" applyAlignment="1">
      <alignment horizontal="center" vertical="center" wrapText="1"/>
    </xf>
    <xf numFmtId="0" fontId="35" fillId="9" borderId="26" xfId="0" applyFont="1" applyFill="1" applyBorder="1" applyAlignment="1">
      <alignment horizontal="center" vertical="center" wrapText="1"/>
    </xf>
    <xf numFmtId="0" fontId="35" fillId="9" borderId="27" xfId="0" applyFont="1" applyFill="1" applyBorder="1" applyAlignment="1">
      <alignment horizontal="center" vertical="center"/>
    </xf>
    <xf numFmtId="0" fontId="35" fillId="9" borderId="2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9" fillId="7" borderId="10" xfId="3" applyFont="1" applyFill="1" applyBorder="1" applyAlignment="1">
      <alignment horizontal="center" vertical="center" wrapText="1"/>
    </xf>
    <xf numFmtId="0" fontId="9" fillId="7" borderId="0" xfId="3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39" fontId="6" fillId="0" borderId="0" xfId="0" applyNumberFormat="1" applyFont="1" applyAlignment="1">
      <alignment horizontal="left" vertical="center" wrapText="1"/>
    </xf>
    <xf numFmtId="164" fontId="15" fillId="0" borderId="0" xfId="1" applyFont="1" applyBorder="1" applyAlignment="1">
      <alignment horizontal="center" vertical="center" wrapText="1"/>
    </xf>
    <xf numFmtId="0" fontId="44" fillId="9" borderId="23" xfId="3" applyFont="1" applyFill="1" applyBorder="1" applyAlignment="1">
      <alignment horizontal="center" vertical="center" wrapText="1"/>
    </xf>
    <xf numFmtId="0" fontId="43" fillId="9" borderId="24" xfId="4" applyFont="1" applyFill="1" applyBorder="1" applyAlignment="1">
      <alignment horizontal="center" vertical="center" wrapText="1"/>
    </xf>
    <xf numFmtId="0" fontId="43" fillId="9" borderId="0" xfId="4" applyFont="1" applyFill="1" applyAlignment="1">
      <alignment horizontal="center" vertical="center" wrapText="1"/>
    </xf>
    <xf numFmtId="0" fontId="43" fillId="9" borderId="24" xfId="3" applyFont="1" applyFill="1" applyBorder="1" applyAlignment="1">
      <alignment horizontal="center" vertical="center" wrapText="1"/>
    </xf>
    <xf numFmtId="0" fontId="43" fillId="9" borderId="0" xfId="3" applyFont="1" applyFill="1" applyBorder="1" applyAlignment="1">
      <alignment horizontal="center" vertical="center" wrapText="1"/>
    </xf>
    <xf numFmtId="0" fontId="21" fillId="0" borderId="23" xfId="3" applyFont="1" applyBorder="1" applyAlignment="1">
      <alignment horizontal="left" vertical="center"/>
    </xf>
    <xf numFmtId="0" fontId="44" fillId="9" borderId="23" xfId="3" applyFont="1" applyFill="1" applyBorder="1" applyAlignment="1">
      <alignment horizontal="center" vertical="center"/>
    </xf>
    <xf numFmtId="0" fontId="49" fillId="9" borderId="23" xfId="3" applyFont="1" applyFill="1" applyBorder="1" applyAlignment="1">
      <alignment horizontal="center" vertical="center"/>
    </xf>
    <xf numFmtId="0" fontId="44" fillId="9" borderId="23" xfId="4" applyFont="1" applyFill="1" applyBorder="1" applyAlignment="1">
      <alignment horizontal="center" vertical="center" wrapText="1"/>
    </xf>
    <xf numFmtId="0" fontId="21" fillId="0" borderId="0" xfId="3" applyFont="1" applyAlignment="1">
      <alignment horizontal="left" vertical="center"/>
    </xf>
    <xf numFmtId="0" fontId="44" fillId="9" borderId="37" xfId="3" applyFont="1" applyFill="1" applyBorder="1" applyAlignment="1">
      <alignment horizontal="center" vertical="center" wrapText="1"/>
    </xf>
    <xf numFmtId="0" fontId="44" fillId="9" borderId="38" xfId="3" applyFont="1" applyFill="1" applyBorder="1" applyAlignment="1">
      <alignment horizontal="center" vertical="center" wrapText="1"/>
    </xf>
    <xf numFmtId="0" fontId="44" fillId="9" borderId="39" xfId="3" applyFont="1" applyFill="1" applyBorder="1" applyAlignment="1">
      <alignment horizontal="center" vertical="center" wrapText="1"/>
    </xf>
    <xf numFmtId="0" fontId="44" fillId="9" borderId="24" xfId="3" applyFont="1" applyFill="1" applyBorder="1" applyAlignment="1">
      <alignment horizontal="center" vertical="center" wrapText="1"/>
    </xf>
    <xf numFmtId="0" fontId="44" fillId="9" borderId="0" xfId="3" applyFont="1" applyFill="1" applyBorder="1" applyAlignment="1">
      <alignment horizontal="center" vertical="center" wrapText="1"/>
    </xf>
    <xf numFmtId="0" fontId="44" fillId="9" borderId="40" xfId="3" applyFont="1" applyFill="1" applyBorder="1" applyAlignment="1">
      <alignment horizontal="center" vertical="center" wrapText="1"/>
    </xf>
    <xf numFmtId="0" fontId="44" fillId="9" borderId="24" xfId="4" applyFont="1" applyFill="1" applyBorder="1" applyAlignment="1">
      <alignment horizontal="center" vertical="center" wrapText="1"/>
    </xf>
    <xf numFmtId="0" fontId="44" fillId="9" borderId="0" xfId="4" applyFont="1" applyFill="1" applyAlignment="1">
      <alignment horizontal="center" vertical="center" wrapText="1"/>
    </xf>
    <xf numFmtId="0" fontId="44" fillId="9" borderId="40" xfId="4" applyFont="1" applyFill="1" applyBorder="1" applyAlignment="1">
      <alignment horizontal="center" vertical="center" wrapText="1"/>
    </xf>
    <xf numFmtId="0" fontId="44" fillId="9" borderId="41" xfId="3" applyFont="1" applyFill="1" applyBorder="1" applyAlignment="1">
      <alignment horizontal="center" vertical="center" wrapText="1"/>
    </xf>
    <xf numFmtId="0" fontId="44" fillId="9" borderId="42" xfId="3" applyFont="1" applyFill="1" applyBorder="1" applyAlignment="1">
      <alignment horizontal="center" vertical="center" wrapText="1"/>
    </xf>
    <xf numFmtId="0" fontId="44" fillId="9" borderId="42" xfId="4" applyFont="1" applyFill="1" applyBorder="1" applyAlignment="1">
      <alignment horizontal="center" vertical="center" wrapText="1"/>
    </xf>
    <xf numFmtId="0" fontId="44" fillId="9" borderId="43" xfId="3" applyFont="1" applyFill="1" applyBorder="1" applyAlignment="1">
      <alignment horizontal="center" vertical="center" wrapText="1"/>
    </xf>
    <xf numFmtId="0" fontId="15" fillId="0" borderId="0" xfId="7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166" fontId="18" fillId="8" borderId="46" xfId="3" applyNumberFormat="1" applyFont="1" applyFill="1" applyBorder="1" applyAlignment="1">
      <alignment horizontal="center" vertical="center" wrapText="1"/>
    </xf>
    <xf numFmtId="166" fontId="18" fillId="8" borderId="44" xfId="3" applyNumberFormat="1" applyFont="1" applyFill="1" applyBorder="1" applyAlignment="1">
      <alignment horizontal="center" vertical="center" wrapText="1"/>
    </xf>
    <xf numFmtId="166" fontId="18" fillId="8" borderId="45" xfId="3" applyNumberFormat="1" applyFont="1" applyFill="1" applyBorder="1" applyAlignment="1">
      <alignment horizontal="center" vertical="center" wrapText="1"/>
    </xf>
    <xf numFmtId="0" fontId="44" fillId="9" borderId="24" xfId="8" applyFont="1" applyFill="1" applyBorder="1" applyAlignment="1">
      <alignment horizontal="center" vertical="center" wrapText="1"/>
    </xf>
    <xf numFmtId="0" fontId="44" fillId="9" borderId="0" xfId="8" applyFont="1" applyFill="1" applyBorder="1" applyAlignment="1">
      <alignment horizontal="center" vertical="center" wrapText="1"/>
    </xf>
    <xf numFmtId="0" fontId="44" fillId="9" borderId="24" xfId="4" applyFont="1" applyFill="1" applyBorder="1" applyAlignment="1">
      <alignment horizontal="center" vertical="center"/>
    </xf>
    <xf numFmtId="0" fontId="44" fillId="9" borderId="0" xfId="4" applyFont="1" applyFill="1" applyAlignment="1">
      <alignment horizontal="center" vertical="center"/>
    </xf>
    <xf numFmtId="0" fontId="23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23" fillId="2" borderId="23" xfId="3" applyFont="1" applyFill="1" applyBorder="1" applyAlignment="1">
      <alignment horizontal="left" vertical="center" wrapText="1"/>
    </xf>
    <xf numFmtId="0" fontId="44" fillId="9" borderId="40" xfId="3" applyFont="1" applyFill="1" applyBorder="1" applyAlignment="1">
      <alignment horizontal="center" vertical="center"/>
    </xf>
    <xf numFmtId="0" fontId="44" fillId="9" borderId="43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 wrapText="1"/>
    </xf>
    <xf numFmtId="0" fontId="44" fillId="9" borderId="24" xfId="3" applyFont="1" applyFill="1" applyBorder="1" applyAlignment="1">
      <alignment horizontal="center" vertical="center"/>
    </xf>
    <xf numFmtId="0" fontId="44" fillId="9" borderId="41" xfId="3" applyFont="1" applyFill="1" applyBorder="1" applyAlignment="1">
      <alignment horizontal="center" vertical="center"/>
    </xf>
    <xf numFmtId="0" fontId="44" fillId="9" borderId="0" xfId="3" applyFont="1" applyFill="1" applyBorder="1" applyAlignment="1">
      <alignment horizontal="center" vertical="center"/>
    </xf>
    <xf numFmtId="0" fontId="44" fillId="9" borderId="42" xfId="3" applyFont="1" applyFill="1" applyBorder="1" applyAlignment="1">
      <alignment horizontal="center" vertical="center"/>
    </xf>
    <xf numFmtId="0" fontId="23" fillId="0" borderId="23" xfId="3" applyFont="1" applyBorder="1" applyAlignment="1">
      <alignment horizontal="left" vertical="center" wrapText="1"/>
    </xf>
    <xf numFmtId="0" fontId="4" fillId="9" borderId="24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</cellXfs>
  <cellStyles count="12">
    <cellStyle name="Comma" xfId="1" builtinId="3"/>
    <cellStyle name="Comma 2" xfId="5" xr:uid="{00000000-0005-0000-0000-000001000000}"/>
    <cellStyle name="Comma 2 2" xfId="9" xr:uid="{00000000-0005-0000-0000-000002000000}"/>
    <cellStyle name="Hyperlink" xfId="11" builtinId="8"/>
    <cellStyle name="Normal" xfId="0" builtinId="0"/>
    <cellStyle name="Normal 2" xfId="3" xr:uid="{00000000-0005-0000-0000-000005000000}"/>
    <cellStyle name="Normal 2 2" xfId="4" xr:uid="{00000000-0005-0000-0000-000006000000}"/>
    <cellStyle name="Normal 2 4" xfId="8" xr:uid="{00000000-0005-0000-0000-000007000000}"/>
    <cellStyle name="Normal 25" xfId="10" xr:uid="{00000000-0005-0000-0000-000008000000}"/>
    <cellStyle name="Normal 3" xfId="7" xr:uid="{00000000-0005-0000-0000-000009000000}"/>
    <cellStyle name="Percent" xfId="2" builtinId="5"/>
    <cellStyle name="Percent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76" Type="http://schemas.openxmlformats.org/officeDocument/2006/relationships/externalLink" Target="externalLinks/externalLink47.xml"/><Relationship Id="rId84" Type="http://schemas.microsoft.com/office/2017/10/relationships/person" Target="persons/perso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66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45.xml"/><Relationship Id="rId79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2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80" Type="http://schemas.openxmlformats.org/officeDocument/2006/relationships/externalLink" Target="externalLinks/externalLink51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externalLink" Target="externalLinks/externalLink49.xml"/><Relationship Id="rId8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DATA\DATA4\DATA\ANNUAL\0102\ANN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DATA4\DATA\ANNUAL\9900\YRDATA\CSD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Model_Business%20Plan_Nov28_2012_v16_capex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paavanb68\Documents\Paavan\C.G\CSPTCL\FY%2015%20Filing\Documents%20and%20Settings\Manjeet%20Singh\Local%20Settings\Temp\Temporary%20Directory%201%20for%20Asset%20Disaggregation%2017.04.05%20With%20Residual%20MPSEB.zip\Raw%20TB%20Data%20&amp;%20Cap-CAU%20as%20Gen.xls?94DB89E3" TargetMode="External"/><Relationship Id="rId1" Type="http://schemas.openxmlformats.org/officeDocument/2006/relationships/externalLinkPath" Target="file:///\\94DB89E3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isb\UP\FINANCE\Model-PwC\Model%201901\ups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users\ss\WBS%20800\Bs9900\2001\BS-Template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users\ss\WBS%20800\Bs9900\New\HQ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resh\c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users\My%20Documents\WBS%20800\New\BS-Template-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director-t\desktop\Documents%20and%20Settings\anurag\My%20Documents\petitions\Petition%20for%20trans%20ARR.doc\Databank\1-Projects%20In%20Hand\DFID\ARR%202003-04\Arr%20Petition%202003-04\For%20Submission\ARR%20Forms%20For%20Subm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salil\DATA4\DATA\MONTHLY\0102\JAN\Sep\GRAPH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resh\c\Sameer's%20folder\MSEB\Tariff%20Filing%202003-04\Outputs\Models\Working%20Models\old\Dispatch%202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CSPTCL_TrueupFY18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CSPTCL%20IND%20AS%20Balance%20sheet%20FY%2018-19%20(5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Models/Transmission%20and%20Working%20Files/CSPTCL%20IND%20AS%20Balance%20sheet%20FY%2019-20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CSPTCL%20IND%20AS%20Balance%20sheet%20FY%2020-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SPTCL%20IND%20AS%20Balance%20sheet%20FY%2021-22%20in%20lakh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Final_SEA_2018-19_Q4%20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Data%20Recd/Transmission/FINAL_SEA_FY_2019-20__(%20Rev.%20%2003.10.2020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CSLDC_TrueupFY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Models/SLDC/Segmental%20working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salil\ca9596onwards%20X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Segmental_vishwas%20mail%2015.10.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ca%20vishwas/Segmental%202020-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haib.Syed/Desktop/Chattisgarh/Transmission/Final%20Closure%20of%20True-Up%20of%20FY%202019-20%20and%20detrmination%20of%20FY%202021-22/True%20Up%20Model%20for%20FY%202019-20%20Plus%20MYT_09.1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True-UP%20Model%20for%20FY%202020-21%20&amp;%20MYT_CSLD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Models/Transmission%20and%20Working%20Files/True%20Up%20Model%20for%20FY%202019-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True%20Up%20Model%20for%20FY%202020-21%20_26.10.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CSPTCL%20FAR%202021-22-1907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LD%20ASSETS%20ADD%202021-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csptcl%20loan%20detail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Models/Transmission%20and%20Working%20Files/Lo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Data\LD\DATA\DATA4\DATA\ANNUAL\0001\GEN%20LOS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Loan%20Detail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ASSETS%202021-22_chakrobarty%20si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zuhaib_syed_in_ey_com/Documents/Desktop/Chattisgarh%202021/Data%20received%20from%20SE%20CSPTCL/100%25%20DEPRECIATED%20ASSETS%20TRANSCO%202020-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100%25%20DEPRECIATED%20ASSETS%20TRANSCO%202021-22_chakrobarty%20sir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%20Drive\Chattisgarh\CSPTCL\True%20up%20and%20MYT%20Petition\Model\CSPTCL_Trueup_FY15_MYT_FY17-FY2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haib.Syed/Desktop/Chattisgarh/Transmission%20and%20Working%20Files/CSPTCL%20IND%20AS%20Balance%20sheet%20FY%2019-20%20V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Final_SEA_2018-19_Q4%20-%20Changed%20as%20per%20C&amp;R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rita%20Laptop%20Data\ASSIGNMENTS\Chhattisgarh\CSPTCL%20FY%202018-19\Models\Trial%20Balance%202018-19%20IND%20A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414EY/Desktop/CSPDCL%20Assignment/Data%20Recd/Transmission/TB%2019-20_March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haib.Syed\OneDrive%20-%20EY\Desktop\Chattisgarh%202021\Data%20received%20from%20SE%20CSPTCL\ca%20vishwas\Copy%20of%20CSPTCL%20TB%20last%205%20years%20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201-04REL-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TB%2021-2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haib.Syed\OneDrive%20-%20EY\Desktop\Chattisgarh%202021\Data%20received%20from%20SE%20CSPTCL\CSPTCL%20IND%20AS%20Balance%20sheet%20FY%2020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avanb68\Documents\Paavan\C.G\CSPTCL\FY%2015%20Filing\06-%20MPSEB%20Tariff%2005-06\Final\15-Final%20Submission-16%20Jun%2005\02-Actual%2006\T&amp;D%20Losses\DATA\DATA4\DATA\ANNUAL\0001\Load%20&amp;%20Thermal%20LU%20&amp;%20M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id\Share\DFID%20From%20EISPMP\Transfer%20Scheme\Gen%20Plan%2024%20jan%202003%20final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d7-p4\shared\Swati\cseb%20accounts\purchase%20of%20power\central%20power%20s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"/>
      <sheetName val="NEW ND (13-16) JUSTIFICATION"/>
      <sheetName val="TRANS"/>
      <sheetName val="SO(10-13)_SO"/>
      <sheetName val="PE_(10-13)_SO"/>
      <sheetName val="N.Develop(10-13)_SO"/>
      <sheetName val="Capex"/>
      <sheetName val="Addl BP(10-13)"/>
      <sheetName val="ND PLAN (13-16)"/>
      <sheetName val="Assumptions"/>
      <sheetName val="ARR"/>
      <sheetName val="Int on loan"/>
      <sheetName val="ROE"/>
      <sheetName val="O&amp;M expenses"/>
      <sheetName val="Depreciation"/>
      <sheetName val="Financial Statements"/>
      <sheetName val="Doub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eb"/>
      <sheetName val="Notes_on_changes"/>
      <sheetName val="Sheet1"/>
      <sheetName val="Financial Estimates"/>
      <sheetName val="per unit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Sheet1"/>
      <sheetName val="HLY_-99-00"/>
      <sheetName val="Hydro_Data"/>
      <sheetName val="dpc_cost"/>
      <sheetName val="Plant_Availability"/>
      <sheetName val="Bombaybazar(Remark)"/>
      <sheetName val="Assumptions"/>
      <sheetName val="HLY_-99-002"/>
      <sheetName val="Hydro_Data2"/>
      <sheetName val="dpc_cost2"/>
      <sheetName val="Plant_Availability2"/>
      <sheetName val="HLY_-99-001"/>
      <sheetName val="Hydro_Data1"/>
      <sheetName val="dpc_cost1"/>
      <sheetName val="Plant_Availability1"/>
      <sheetName val="Discom Details"/>
      <sheetName val="A 3.7"/>
      <sheetName val="C.S.GENERATION"/>
      <sheetName val="Cash Flow"/>
      <sheetName val="Sch-3"/>
      <sheetName val="all"/>
      <sheetName val="RAJ"/>
      <sheetName val="04r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1"/>
      <sheetName val="ST1B"/>
      <sheetName val="ST2"/>
      <sheetName val="ST3"/>
      <sheetName val="ST8"/>
      <sheetName val="SCH1"/>
      <sheetName val="SCH4"/>
      <sheetName val="SCH5"/>
      <sheetName val="SCH6"/>
      <sheetName val="SCH7"/>
      <sheetName val="SCH8"/>
      <sheetName val="SCH9"/>
      <sheetName val="SCH10"/>
      <sheetName val="SCH11"/>
      <sheetName val="SCH12"/>
      <sheetName val="SCH14"/>
      <sheetName val="SCH15"/>
      <sheetName val="SCH16"/>
      <sheetName val="SCH17"/>
      <sheetName val="SCH18"/>
      <sheetName val="SCH19"/>
      <sheetName val="SCH21"/>
      <sheetName val="SCH22"/>
      <sheetName val="SCH23"/>
      <sheetName val="SCH24"/>
      <sheetName val="SCH25"/>
      <sheetName val="SCH26"/>
      <sheetName val="SCH26A"/>
      <sheetName val="SCH26B"/>
      <sheetName val="SCH26C"/>
      <sheetName val="SCH26D"/>
      <sheetName val="SCH26E"/>
      <sheetName val="SCH27"/>
      <sheetName val="SCH28"/>
      <sheetName val="SCH29"/>
      <sheetName val="SCH30"/>
      <sheetName val="SCH31"/>
      <sheetName val="SCH32"/>
      <sheetName val="SCH33"/>
      <sheetName val="SCH34"/>
      <sheetName val="SCH35"/>
      <sheetName val="SCH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Q00"/>
      <sheetName val="SCH32A"/>
      <sheetName val="030000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1"/>
      <sheetName val="ST1B"/>
      <sheetName val="ST2"/>
      <sheetName val="ST3"/>
      <sheetName val="ST8"/>
      <sheetName val="SCH1"/>
      <sheetName val="SCH4"/>
      <sheetName val="SCH5"/>
      <sheetName val="SCH6"/>
      <sheetName val="SCH7"/>
      <sheetName val="SCH8"/>
      <sheetName val="SCH9"/>
      <sheetName val="SCH10"/>
      <sheetName val="SCH11"/>
      <sheetName val="SCH12"/>
      <sheetName val="SCH14"/>
      <sheetName val="SCH15"/>
      <sheetName val="SCH16"/>
      <sheetName val="SCH17"/>
      <sheetName val="SCH18"/>
      <sheetName val="SCH19"/>
      <sheetName val="SCH21"/>
      <sheetName val="SCH22"/>
      <sheetName val="SCH23"/>
      <sheetName val="SCH24"/>
      <sheetName val="SCH25"/>
      <sheetName val="SCH26"/>
      <sheetName val="SCH26A"/>
      <sheetName val="SCH26B"/>
      <sheetName val="SCH26C"/>
      <sheetName val="SCH26D"/>
      <sheetName val="SCH26E"/>
      <sheetName val="SCH27"/>
      <sheetName val="SCH28"/>
      <sheetName val="SCH29"/>
      <sheetName val="SCH30"/>
      <sheetName val="SCH31"/>
      <sheetName val="SCH32"/>
      <sheetName val="SCH33"/>
      <sheetName val="SCH34"/>
      <sheetName val="SCH35"/>
      <sheetName val="SCH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1"/>
      <sheetName val="F2"/>
      <sheetName val="F3"/>
      <sheetName val="F4"/>
      <sheetName val="F5"/>
      <sheetName val="F6"/>
      <sheetName val="F7"/>
      <sheetName val="F8"/>
      <sheetName val="FORMATS"/>
      <sheetName val="PL"/>
      <sheetName val="BS"/>
      <sheetName val="CF"/>
      <sheetName val="F1 (2)"/>
      <sheetName val="F2 (2)"/>
      <sheetName val="F3 (2)"/>
      <sheetName val="F4 (2)"/>
      <sheetName val="F5A"/>
      <sheetName val="F5B"/>
      <sheetName val="F6 (2)"/>
      <sheetName val="F7 (2)"/>
      <sheetName val="F8(2)"/>
      <sheetName val="F9"/>
      <sheetName val="F10"/>
      <sheetName val="F11"/>
      <sheetName val="F12"/>
      <sheetName val="F13"/>
      <sheetName val="F14"/>
    </sheetNames>
    <sheetDataSet>
      <sheetData sheetId="0" refreshError="1"/>
      <sheetData sheetId="1">
        <row r="9">
          <cell r="J9">
            <v>178.31066862600005</v>
          </cell>
        </row>
        <row r="10">
          <cell r="J10">
            <v>45.722943782000002</v>
          </cell>
        </row>
        <row r="11">
          <cell r="J11">
            <v>41.642235699000011</v>
          </cell>
        </row>
        <row r="12">
          <cell r="J12">
            <v>53.61</v>
          </cell>
        </row>
        <row r="14">
          <cell r="J14">
            <v>15.299031257000001</v>
          </cell>
        </row>
        <row r="15">
          <cell r="J15">
            <v>186.59664328814449</v>
          </cell>
        </row>
        <row r="16">
          <cell r="J16">
            <v>175.47284356689349</v>
          </cell>
        </row>
        <row r="17">
          <cell r="J17">
            <v>13.270420256154601</v>
          </cell>
        </row>
        <row r="18">
          <cell r="J18">
            <v>0</v>
          </cell>
        </row>
        <row r="19">
          <cell r="J19">
            <v>156.84541982504052</v>
          </cell>
        </row>
        <row r="20">
          <cell r="J20">
            <v>-8.1408015060838537</v>
          </cell>
        </row>
        <row r="21">
          <cell r="J21">
            <v>3.0510125109173512</v>
          </cell>
        </row>
        <row r="22">
          <cell r="J22">
            <v>7.3791198431074321</v>
          </cell>
        </row>
        <row r="25">
          <cell r="J25">
            <v>32.994171752000007</v>
          </cell>
        </row>
        <row r="29">
          <cell r="J29">
            <v>813.59</v>
          </cell>
        </row>
      </sheetData>
      <sheetData sheetId="2" refreshError="1"/>
      <sheetData sheetId="3">
        <row r="152">
          <cell r="L152">
            <v>29.619176000000003</v>
          </cell>
          <cell r="M152">
            <v>30.483824186949377</v>
          </cell>
        </row>
        <row r="163">
          <cell r="L163">
            <v>30.360940000000006</v>
          </cell>
          <cell r="M163">
            <v>31.247241891891893</v>
          </cell>
        </row>
        <row r="188">
          <cell r="E188">
            <v>4169.0581145169999</v>
          </cell>
          <cell r="J188">
            <v>4583.412148110865</v>
          </cell>
        </row>
        <row r="192">
          <cell r="E192">
            <v>3.2635329021081594</v>
          </cell>
        </row>
        <row r="193">
          <cell r="E193">
            <v>3.3452627658828762</v>
          </cell>
        </row>
      </sheetData>
      <sheetData sheetId="4" refreshError="1"/>
      <sheetData sheetId="5">
        <row r="11">
          <cell r="H11">
            <v>3863.64</v>
          </cell>
        </row>
        <row r="12">
          <cell r="H12">
            <v>747.90279571099995</v>
          </cell>
        </row>
        <row r="13">
          <cell r="H13">
            <v>4611.5427957109996</v>
          </cell>
        </row>
        <row r="14">
          <cell r="H14">
            <v>268.14622903400101</v>
          </cell>
        </row>
        <row r="15">
          <cell r="H15">
            <v>0.3</v>
          </cell>
        </row>
        <row r="16">
          <cell r="H16">
            <v>136.86569571500149</v>
          </cell>
        </row>
        <row r="17">
          <cell r="H17">
            <v>4131.7862290340008</v>
          </cell>
        </row>
        <row r="18">
          <cell r="H18">
            <v>616.62226239200004</v>
          </cell>
        </row>
        <row r="19">
          <cell r="H19">
            <v>4748.4084914260011</v>
          </cell>
        </row>
        <row r="22">
          <cell r="H22">
            <v>101.56</v>
          </cell>
        </row>
        <row r="24">
          <cell r="H24">
            <v>101.56</v>
          </cell>
        </row>
        <row r="25">
          <cell r="H25">
            <v>46.06</v>
          </cell>
        </row>
        <row r="26">
          <cell r="H26">
            <v>46.06</v>
          </cell>
        </row>
        <row r="29">
          <cell r="H29">
            <v>2144.62</v>
          </cell>
        </row>
        <row r="30">
          <cell r="H30">
            <v>119.21259411399998</v>
          </cell>
        </row>
        <row r="31">
          <cell r="H31">
            <v>2263.8325941139997</v>
          </cell>
        </row>
        <row r="32">
          <cell r="H32">
            <v>2468.7759999999998</v>
          </cell>
        </row>
        <row r="33">
          <cell r="H33">
            <v>2656.4783603238002</v>
          </cell>
        </row>
        <row r="34">
          <cell r="H34">
            <v>187.70236032380035</v>
          </cell>
        </row>
        <row r="37">
          <cell r="H37">
            <v>2365.3627957109993</v>
          </cell>
        </row>
        <row r="38">
          <cell r="H38">
            <v>17.653101601001708</v>
          </cell>
        </row>
        <row r="39">
          <cell r="H39">
            <v>2383.015897312001</v>
          </cell>
        </row>
        <row r="40">
          <cell r="H40">
            <v>1348.8040000000001</v>
          </cell>
        </row>
        <row r="41">
          <cell r="H41">
            <v>1429.2478687102005</v>
          </cell>
        </row>
        <row r="42">
          <cell r="H42">
            <v>1389.0259343551002</v>
          </cell>
        </row>
        <row r="43">
          <cell r="H43">
            <v>80.443868710200377</v>
          </cell>
        </row>
        <row r="46">
          <cell r="H46">
            <v>971.68399999999997</v>
          </cell>
        </row>
        <row r="47">
          <cell r="H47">
            <v>1052.1278687102003</v>
          </cell>
        </row>
        <row r="48">
          <cell r="H48">
            <v>1011.9059343551002</v>
          </cell>
        </row>
        <row r="49">
          <cell r="H49">
            <v>80.443868710200377</v>
          </cell>
        </row>
        <row r="52">
          <cell r="H52">
            <v>0.155</v>
          </cell>
        </row>
        <row r="53">
          <cell r="H53">
            <v>156.84541982504052</v>
          </cell>
        </row>
        <row r="55">
          <cell r="H55">
            <v>0.155</v>
          </cell>
        </row>
        <row r="56">
          <cell r="H56">
            <v>156.84541982504052</v>
          </cell>
        </row>
        <row r="60">
          <cell r="H60">
            <v>377.12000000000035</v>
          </cell>
        </row>
        <row r="61">
          <cell r="H61">
            <v>377.12000000000012</v>
          </cell>
        </row>
        <row r="62">
          <cell r="H62">
            <v>377.12000000000023</v>
          </cell>
        </row>
        <row r="70">
          <cell r="H70">
            <v>1743.71</v>
          </cell>
        </row>
        <row r="71">
          <cell r="H71">
            <v>186.59664328814449</v>
          </cell>
        </row>
        <row r="72">
          <cell r="H72">
            <v>187.70236032380063</v>
          </cell>
        </row>
        <row r="73">
          <cell r="H73">
            <v>0</v>
          </cell>
        </row>
        <row r="74">
          <cell r="H74">
            <v>1744.815717035656</v>
          </cell>
        </row>
        <row r="75">
          <cell r="H75">
            <v>1744.2628585178281</v>
          </cell>
        </row>
        <row r="76">
          <cell r="H76">
            <v>0.10059999999999999</v>
          </cell>
        </row>
        <row r="77">
          <cell r="H77">
            <v>175.47284356689349</v>
          </cell>
        </row>
      </sheetData>
      <sheetData sheetId="6">
        <row r="9">
          <cell r="H9">
            <v>3863.64</v>
          </cell>
        </row>
        <row r="10">
          <cell r="H10">
            <v>268.14622903400101</v>
          </cell>
        </row>
        <row r="11">
          <cell r="H11">
            <v>4131.7862290340008</v>
          </cell>
        </row>
        <row r="12">
          <cell r="H12">
            <v>3997.7131145170006</v>
          </cell>
        </row>
        <row r="13">
          <cell r="H13">
            <v>5.2564493205404517E-2</v>
          </cell>
        </row>
        <row r="14">
          <cell r="H14">
            <v>210.13776384518542</v>
          </cell>
        </row>
        <row r="15">
          <cell r="H15">
            <v>46.06</v>
          </cell>
        </row>
        <row r="16">
          <cell r="H16">
            <v>0</v>
          </cell>
        </row>
        <row r="17">
          <cell r="H17">
            <v>46.06</v>
          </cell>
        </row>
        <row r="18">
          <cell r="H18">
            <v>46.06</v>
          </cell>
        </row>
        <row r="19">
          <cell r="H19">
            <v>2.4211205570409322</v>
          </cell>
        </row>
        <row r="20">
          <cell r="H20">
            <v>21.12</v>
          </cell>
        </row>
      </sheetData>
      <sheetData sheetId="7">
        <row r="9">
          <cell r="H9">
            <v>20.864734737500008</v>
          </cell>
        </row>
        <row r="10">
          <cell r="H10">
            <v>16.656894279600007</v>
          </cell>
        </row>
        <row r="11">
          <cell r="H11">
            <v>67.799166666666665</v>
          </cell>
        </row>
        <row r="15">
          <cell r="H15">
            <v>0.126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 St - Indirect"/>
      <sheetName val="SOCE a."/>
      <sheetName val="SOCE b."/>
      <sheetName val="Accounting Policies "/>
      <sheetName val="PPE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Segment Note"/>
      <sheetName val="Contingent Liabilities"/>
      <sheetName val="Financial Instrument Disclosure"/>
      <sheetName val="Employee Benefits "/>
      <sheetName val="Other Notes carried fwd"/>
      <sheetName val="Other notes"/>
    </sheetNames>
    <sheetDataSet>
      <sheetData sheetId="0" refreshError="1">
        <row r="10">
          <cell r="I10">
            <v>6534265801.7071896</v>
          </cell>
        </row>
      </sheetData>
      <sheetData sheetId="1" refreshError="1">
        <row r="27">
          <cell r="H27">
            <v>210979416.62338877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2893803.6299999952</v>
          </cell>
          <cell r="E10">
            <v>3316557.57</v>
          </cell>
          <cell r="F10">
            <v>311264252.80000001</v>
          </cell>
          <cell r="G10">
            <v>144812885.35999998</v>
          </cell>
          <cell r="H10">
            <v>64721609.600000001</v>
          </cell>
          <cell r="I10">
            <v>61273854.940000005</v>
          </cell>
          <cell r="J10">
            <v>4991206.16</v>
          </cell>
          <cell r="K10">
            <v>19110825518.169998</v>
          </cell>
          <cell r="L10">
            <v>21652099963.879997</v>
          </cell>
          <cell r="M10">
            <v>24221029.019999996</v>
          </cell>
          <cell r="N10">
            <v>18250912.43</v>
          </cell>
          <cell r="O10">
            <v>11304342</v>
          </cell>
          <cell r="P10">
            <v>63766457.899999999</v>
          </cell>
        </row>
        <row r="18">
          <cell r="D18">
            <v>2893803.6299999952</v>
          </cell>
          <cell r="E18">
            <v>3316557.57</v>
          </cell>
          <cell r="F18">
            <v>299102246.95000005</v>
          </cell>
          <cell r="G18">
            <v>150897560.55999997</v>
          </cell>
          <cell r="H18">
            <v>61210402.637297399</v>
          </cell>
          <cell r="I18">
            <v>78774461.99000001</v>
          </cell>
          <cell r="J18">
            <v>4991206.16</v>
          </cell>
          <cell r="K18">
            <v>19845146007.52</v>
          </cell>
          <cell r="L18">
            <v>26586078853.379997</v>
          </cell>
          <cell r="M18">
            <v>24381863.379999995</v>
          </cell>
          <cell r="N18">
            <v>20455711.32</v>
          </cell>
          <cell r="O18">
            <v>11304342</v>
          </cell>
          <cell r="P18">
            <v>64207757.899999999</v>
          </cell>
        </row>
        <row r="21">
          <cell r="Q21">
            <v>14575646362.85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9">
          <cell r="F9">
            <v>9634800000</v>
          </cell>
        </row>
      </sheetData>
      <sheetData sheetId="23" refreshError="1">
        <row r="23">
          <cell r="F23">
            <v>20970813.73</v>
          </cell>
        </row>
        <row r="24">
          <cell r="F24">
            <v>0</v>
          </cell>
        </row>
        <row r="26">
          <cell r="F26">
            <v>1935240.86</v>
          </cell>
        </row>
        <row r="27">
          <cell r="F27">
            <v>514912</v>
          </cell>
        </row>
        <row r="28">
          <cell r="F28">
            <v>18937658.319999993</v>
          </cell>
        </row>
        <row r="29">
          <cell r="F29">
            <v>53089380</v>
          </cell>
        </row>
        <row r="30">
          <cell r="F30">
            <v>11941766.124076782</v>
          </cell>
        </row>
        <row r="31">
          <cell r="F31">
            <v>797854</v>
          </cell>
        </row>
        <row r="32">
          <cell r="F32">
            <v>106363437.3249425</v>
          </cell>
        </row>
        <row r="33">
          <cell r="F33">
            <v>18236955.949999999</v>
          </cell>
        </row>
        <row r="35">
          <cell r="F35">
            <v>232788018.30901927</v>
          </cell>
        </row>
      </sheetData>
      <sheetData sheetId="24" refreshError="1">
        <row r="8">
          <cell r="F8">
            <v>1853079376.3399997</v>
          </cell>
        </row>
        <row r="9">
          <cell r="F9">
            <v>39618554.099999994</v>
          </cell>
        </row>
        <row r="10">
          <cell r="F10">
            <v>1136723988</v>
          </cell>
        </row>
        <row r="11">
          <cell r="F11">
            <v>250351222.99999997</v>
          </cell>
        </row>
        <row r="15">
          <cell r="F15">
            <v>20086380.920000002</v>
          </cell>
        </row>
        <row r="16">
          <cell r="F16">
            <v>15435270.35</v>
          </cell>
        </row>
        <row r="17">
          <cell r="F17">
            <v>-133636586.49999997</v>
          </cell>
        </row>
        <row r="18">
          <cell r="F18">
            <v>3181658206.2099996</v>
          </cell>
        </row>
      </sheetData>
      <sheetData sheetId="25" refreshError="1"/>
      <sheetData sheetId="26" refreshError="1">
        <row r="10">
          <cell r="F10">
            <v>405673027.00000012</v>
          </cell>
        </row>
        <row r="11">
          <cell r="F11">
            <v>59331493.050000004</v>
          </cell>
        </row>
        <row r="12">
          <cell r="F12">
            <v>2424480.7699999996</v>
          </cell>
        </row>
        <row r="13">
          <cell r="F13">
            <v>194144274.16</v>
          </cell>
        </row>
        <row r="15">
          <cell r="F15">
            <v>6678584.7000000002</v>
          </cell>
        </row>
        <row r="17">
          <cell r="F17">
            <v>14355767</v>
          </cell>
        </row>
        <row r="18">
          <cell r="F18">
            <v>9700.89</v>
          </cell>
        </row>
        <row r="19">
          <cell r="F19">
            <v>53365450.960000001</v>
          </cell>
        </row>
        <row r="25">
          <cell r="F25">
            <v>923940</v>
          </cell>
        </row>
        <row r="26">
          <cell r="F26">
            <v>138591</v>
          </cell>
        </row>
        <row r="32">
          <cell r="F32">
            <v>8163095.2613813737</v>
          </cell>
        </row>
        <row r="33">
          <cell r="F33">
            <v>26193920.368036531</v>
          </cell>
        </row>
        <row r="34">
          <cell r="F34">
            <v>47606489.869999997</v>
          </cell>
        </row>
        <row r="35">
          <cell r="F35">
            <v>139347340.89292237</v>
          </cell>
        </row>
        <row r="46">
          <cell r="F46">
            <v>-31895614.41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>
        <row r="14">
          <cell r="B14">
            <v>241847890.74901927</v>
          </cell>
        </row>
        <row r="21">
          <cell r="C21">
            <v>22848357.299999993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 St - Indirect"/>
      <sheetName val="SOCE a."/>
      <sheetName val="SOCE b."/>
      <sheetName val="Accounting Policies "/>
      <sheetName val="PPE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Segment Note"/>
      <sheetName val="Contingent Liabilities (1)"/>
      <sheetName val="Contingent Liabilities"/>
      <sheetName val="Financial Instrument Disclosure"/>
      <sheetName val="Employee Benefits "/>
      <sheetName val="Other Notes carried fwd"/>
      <sheetName val="Other notes"/>
    </sheetNames>
    <sheetDataSet>
      <sheetData sheetId="0" refreshError="1"/>
      <sheetData sheetId="1" refreshError="1">
        <row r="27">
          <cell r="H27">
            <v>127445008.87935524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2893803.6299999952</v>
          </cell>
          <cell r="E10">
            <v>3316557.57</v>
          </cell>
          <cell r="F10">
            <v>299102246.95000005</v>
          </cell>
          <cell r="G10">
            <v>150897560.55999997</v>
          </cell>
          <cell r="H10">
            <v>61210402.637297399</v>
          </cell>
          <cell r="I10">
            <v>78774461.99000001</v>
          </cell>
          <cell r="J10">
            <v>4991206.16</v>
          </cell>
          <cell r="K10">
            <v>19845146007.52</v>
          </cell>
          <cell r="L10">
            <v>26586078853.379997</v>
          </cell>
          <cell r="M10">
            <v>24381863.379999995</v>
          </cell>
          <cell r="N10">
            <v>20455711.32</v>
          </cell>
          <cell r="O10">
            <v>11304342</v>
          </cell>
          <cell r="P10">
            <v>64207757.899999999</v>
          </cell>
        </row>
        <row r="18">
          <cell r="D18">
            <v>2893803.6299999952</v>
          </cell>
          <cell r="E18">
            <v>3316557.57</v>
          </cell>
          <cell r="F18">
            <v>358411489.61000007</v>
          </cell>
          <cell r="G18">
            <v>159054466.91999999</v>
          </cell>
          <cell r="H18">
            <v>61210402.637297399</v>
          </cell>
          <cell r="I18">
            <v>92061939.820000008</v>
          </cell>
          <cell r="J18">
            <v>5670054.1100000003</v>
          </cell>
          <cell r="K18">
            <v>19952252289.09</v>
          </cell>
          <cell r="L18">
            <v>30348616982.110001</v>
          </cell>
          <cell r="M18">
            <v>26991379.879999995</v>
          </cell>
          <cell r="N18">
            <v>23113870.699999999</v>
          </cell>
          <cell r="O18">
            <v>11304342</v>
          </cell>
          <cell r="P18">
            <v>83391569.75</v>
          </cell>
        </row>
        <row r="32">
          <cell r="D32">
            <v>5244107037.6965237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3">
          <cell r="F23">
            <v>5864929.9699999997</v>
          </cell>
        </row>
        <row r="26">
          <cell r="F26">
            <v>1144668.5299999777</v>
          </cell>
        </row>
        <row r="27">
          <cell r="F27">
            <v>390118.5</v>
          </cell>
        </row>
        <row r="28">
          <cell r="F28">
            <v>1796254.2599999998</v>
          </cell>
        </row>
        <row r="29">
          <cell r="F29">
            <v>0</v>
          </cell>
        </row>
        <row r="30">
          <cell r="F30">
            <v>5555752.0600000005</v>
          </cell>
        </row>
        <row r="31">
          <cell r="F31">
            <v>304994</v>
          </cell>
        </row>
        <row r="32">
          <cell r="F32">
            <v>90377244.610000014</v>
          </cell>
        </row>
        <row r="33">
          <cell r="F33">
            <v>29755051.43</v>
          </cell>
        </row>
        <row r="34">
          <cell r="F34">
            <v>135189013.35999998</v>
          </cell>
        </row>
      </sheetData>
      <sheetData sheetId="24" refreshError="1">
        <row r="10">
          <cell r="F10">
            <v>1096017427</v>
          </cell>
        </row>
        <row r="17">
          <cell r="F17">
            <v>-135552665.75999996</v>
          </cell>
        </row>
        <row r="18">
          <cell r="F18">
            <v>2995827726.9400001</v>
          </cell>
        </row>
      </sheetData>
      <sheetData sheetId="25" refreshError="1"/>
      <sheetData sheetId="26" refreshError="1">
        <row r="10">
          <cell r="F10">
            <v>465048706.31000006</v>
          </cell>
        </row>
        <row r="11">
          <cell r="F11">
            <v>54423212.769999996</v>
          </cell>
        </row>
        <row r="12">
          <cell r="F12">
            <v>3345929.39</v>
          </cell>
        </row>
        <row r="13">
          <cell r="F13">
            <v>148362771</v>
          </cell>
        </row>
        <row r="17">
          <cell r="F17">
            <v>12626791</v>
          </cell>
        </row>
        <row r="18">
          <cell r="F18">
            <v>6401.9199999999983</v>
          </cell>
        </row>
        <row r="19">
          <cell r="F19">
            <v>57562950.139999993</v>
          </cell>
        </row>
        <row r="25">
          <cell r="F25">
            <v>1003000</v>
          </cell>
        </row>
        <row r="26">
          <cell r="F26">
            <v>150450</v>
          </cell>
        </row>
        <row r="32">
          <cell r="F32">
            <v>4647433.10286</v>
          </cell>
        </row>
        <row r="33">
          <cell r="F33">
            <v>22119142.549999997</v>
          </cell>
        </row>
        <row r="34">
          <cell r="F34">
            <v>67725965.5</v>
          </cell>
        </row>
        <row r="35">
          <cell r="F35">
            <v>250784754.5066134</v>
          </cell>
        </row>
        <row r="46">
          <cell r="F46">
            <v>-12899131.5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>
        <row r="12">
          <cell r="B12">
            <v>8168399998.71</v>
          </cell>
        </row>
        <row r="14">
          <cell r="B14">
            <v>135011262.06999999</v>
          </cell>
        </row>
        <row r="19">
          <cell r="C19">
            <v>82921914.160000011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S"/>
      <sheetName val="PL"/>
      <sheetName val="CF St - Indirect"/>
      <sheetName val="SOCE a."/>
      <sheetName val="SOCE b."/>
      <sheetName val="Accounting Policies "/>
      <sheetName val="PPE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Contingent Liabilities"/>
      <sheetName val="Segment Note"/>
      <sheetName val="Contingent Liabilities (1)"/>
      <sheetName val="Financial Instrument Disclosure"/>
      <sheetName val="Employee Benefits "/>
      <sheetName val="Other Notes carried fwd"/>
      <sheetName val="Other notes"/>
    </sheetNames>
    <sheetDataSet>
      <sheetData sheetId="0"/>
      <sheetData sheetId="1"/>
      <sheetData sheetId="2">
        <row r="27">
          <cell r="H27">
            <v>19845223.299551103</v>
          </cell>
        </row>
      </sheetData>
      <sheetData sheetId="3"/>
      <sheetData sheetId="4"/>
      <sheetData sheetId="5"/>
      <sheetData sheetId="6"/>
      <sheetData sheetId="7">
        <row r="10">
          <cell r="D10">
            <v>2893803.6299999952</v>
          </cell>
          <cell r="E10">
            <v>3316557.57</v>
          </cell>
          <cell r="F10">
            <v>358411489.61000007</v>
          </cell>
          <cell r="G10">
            <v>159054466.91999999</v>
          </cell>
          <cell r="H10">
            <v>61210402.637297399</v>
          </cell>
          <cell r="I10">
            <v>92061939.820000008</v>
          </cell>
          <cell r="J10">
            <v>5670054.1100000003</v>
          </cell>
          <cell r="K10">
            <v>19952252289.09</v>
          </cell>
          <cell r="L10">
            <v>30348616982.110001</v>
          </cell>
          <cell r="M10">
            <v>26991379.879999995</v>
          </cell>
          <cell r="N10">
            <v>23113870.699999999</v>
          </cell>
          <cell r="O10">
            <v>11304342</v>
          </cell>
          <cell r="P10">
            <v>83391569.75</v>
          </cell>
        </row>
        <row r="11">
          <cell r="Q11">
            <v>3394333972.0000014</v>
          </cell>
        </row>
        <row r="18">
          <cell r="D18">
            <v>2893803.6299999952</v>
          </cell>
          <cell r="E18">
            <v>3316557.57</v>
          </cell>
          <cell r="F18">
            <v>365442471.28000009</v>
          </cell>
          <cell r="G18">
            <v>171133626.56999999</v>
          </cell>
          <cell r="H18">
            <v>61359133.127297401</v>
          </cell>
          <cell r="I18">
            <v>94358779.850000009</v>
          </cell>
          <cell r="J18">
            <v>9999533.129999999</v>
          </cell>
          <cell r="K18">
            <v>20612754599.110001</v>
          </cell>
          <cell r="L18">
            <v>33051335960.060001</v>
          </cell>
          <cell r="M18">
            <v>27408006.759999994</v>
          </cell>
          <cell r="N18">
            <v>26431060.139999997</v>
          </cell>
          <cell r="O18">
            <v>11304342</v>
          </cell>
          <cell r="P18">
            <v>84885246.599999994</v>
          </cell>
        </row>
        <row r="21">
          <cell r="Q21">
            <v>19313587223.448677</v>
          </cell>
        </row>
        <row r="41">
          <cell r="D41">
            <v>4949255697.0794935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8352892293</v>
          </cell>
        </row>
        <row r="11">
          <cell r="F11">
            <v>136768048</v>
          </cell>
        </row>
        <row r="14">
          <cell r="F14">
            <v>735616708</v>
          </cell>
        </row>
        <row r="15">
          <cell r="F15">
            <v>47122951.680006027</v>
          </cell>
        </row>
      </sheetData>
      <sheetData sheetId="24">
        <row r="23">
          <cell r="F23">
            <v>-49300.609999999986</v>
          </cell>
        </row>
        <row r="24">
          <cell r="F24">
            <v>370278.1400000006</v>
          </cell>
        </row>
        <row r="26">
          <cell r="F26">
            <v>4412272.3700000048</v>
          </cell>
        </row>
        <row r="27">
          <cell r="F27">
            <v>68176.5</v>
          </cell>
        </row>
        <row r="28">
          <cell r="F28">
            <v>4071196.43</v>
          </cell>
        </row>
        <row r="29">
          <cell r="F29">
            <v>405157147</v>
          </cell>
        </row>
        <row r="30">
          <cell r="F30">
            <v>10824337.539999999</v>
          </cell>
        </row>
        <row r="31">
          <cell r="F31">
            <v>4280961</v>
          </cell>
        </row>
        <row r="32">
          <cell r="F32">
            <v>283870975.34999931</v>
          </cell>
        </row>
        <row r="33">
          <cell r="F33">
            <v>4075265.71</v>
          </cell>
        </row>
      </sheetData>
      <sheetData sheetId="25">
        <row r="8">
          <cell r="F8">
            <v>1774512303.0199997</v>
          </cell>
        </row>
        <row r="9">
          <cell r="F9">
            <v>54343025.560000002</v>
          </cell>
        </row>
        <row r="11">
          <cell r="F11">
            <v>110399983</v>
          </cell>
        </row>
        <row r="15">
          <cell r="F15">
            <v>22835886.09</v>
          </cell>
        </row>
        <row r="16">
          <cell r="F16">
            <v>21344786.32</v>
          </cell>
        </row>
        <row r="17">
          <cell r="F17">
            <v>-98817301.150000006</v>
          </cell>
        </row>
      </sheetData>
      <sheetData sheetId="26">
        <row r="8">
          <cell r="F8">
            <v>1353173953.9199786</v>
          </cell>
        </row>
        <row r="12">
          <cell r="F12">
            <v>2045577.8399999999</v>
          </cell>
        </row>
      </sheetData>
      <sheetData sheetId="27">
        <row r="10">
          <cell r="F10">
            <v>469340630.46999991</v>
          </cell>
        </row>
        <row r="11">
          <cell r="F11">
            <v>81737346.039999992</v>
          </cell>
        </row>
        <row r="12">
          <cell r="F12">
            <v>6261991.6999999993</v>
          </cell>
        </row>
        <row r="19">
          <cell r="F19">
            <v>61720693.350000001</v>
          </cell>
        </row>
        <row r="25">
          <cell r="F25">
            <v>1085600</v>
          </cell>
        </row>
        <row r="26">
          <cell r="F26">
            <v>162840</v>
          </cell>
        </row>
        <row r="32">
          <cell r="F32">
            <v>928067.65279041498</v>
          </cell>
        </row>
        <row r="34">
          <cell r="F34">
            <v>46491357.227126174</v>
          </cell>
        </row>
        <row r="46">
          <cell r="F46">
            <v>-9278991</v>
          </cell>
        </row>
      </sheetData>
      <sheetData sheetId="28"/>
      <sheetData sheetId="29"/>
      <sheetData sheetId="30"/>
      <sheetData sheetId="31"/>
      <sheetData sheetId="32"/>
      <sheetData sheetId="33">
        <row r="14">
          <cell r="B14">
            <v>716904682.42999935</v>
          </cell>
        </row>
        <row r="19">
          <cell r="C19">
            <v>89135804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S"/>
      <sheetName val="PL"/>
      <sheetName val="CF St - Indirect"/>
      <sheetName val="SOCE a."/>
      <sheetName val="SOCE b."/>
      <sheetName val="Accounting Policies "/>
      <sheetName val="PPE"/>
      <sheetName val="CWIP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Contingent Liabilities"/>
      <sheetName val="Segment Note"/>
      <sheetName val="Contingent Liabilities (1)"/>
      <sheetName val="Financial Instrument Disclosure"/>
      <sheetName val="Employee Benefits "/>
      <sheetName val="Other Notes carried fwd"/>
      <sheetName val="Ratios"/>
      <sheetName val="Other notes"/>
    </sheetNames>
    <sheetDataSet>
      <sheetData sheetId="0"/>
      <sheetData sheetId="1"/>
      <sheetData sheetId="2">
        <row r="27">
          <cell r="H27">
            <v>913.95929439999998</v>
          </cell>
        </row>
      </sheetData>
      <sheetData sheetId="3"/>
      <sheetData sheetId="4"/>
      <sheetData sheetId="5"/>
      <sheetData sheetId="6"/>
      <sheetData sheetId="7">
        <row r="30">
          <cell r="D30">
            <v>28.938036299999954</v>
          </cell>
          <cell r="E30">
            <v>33.165575699999998</v>
          </cell>
          <cell r="F30">
            <v>3654.4247128000011</v>
          </cell>
          <cell r="G30">
            <v>1711.3362657</v>
          </cell>
          <cell r="H30">
            <v>613.591331272974</v>
          </cell>
          <cell r="I30">
            <v>943.58779850000008</v>
          </cell>
          <cell r="J30">
            <v>99.995331299999989</v>
          </cell>
          <cell r="K30">
            <v>206127.54599109999</v>
          </cell>
          <cell r="L30">
            <v>330513.35960060003</v>
          </cell>
          <cell r="M30">
            <v>274.08006759999995</v>
          </cell>
          <cell r="N30">
            <v>264.3106014</v>
          </cell>
          <cell r="O30">
            <v>113.04342</v>
          </cell>
          <cell r="P30">
            <v>848.85246599999994</v>
          </cell>
        </row>
        <row r="31">
          <cell r="Q31">
            <v>13491.279818899879</v>
          </cell>
        </row>
        <row r="38">
          <cell r="D38">
            <v>28.938036299999954</v>
          </cell>
          <cell r="E38">
            <v>33.165575699999998</v>
          </cell>
          <cell r="F38">
            <v>3748.1393962000002</v>
          </cell>
          <cell r="G38">
            <v>2100.6356996999998</v>
          </cell>
          <cell r="H38">
            <v>721.43117207297405</v>
          </cell>
          <cell r="I38">
            <v>1111.1806897000001</v>
          </cell>
          <cell r="J38">
            <v>120.16811549999998</v>
          </cell>
          <cell r="K38">
            <v>207371.46145729997</v>
          </cell>
          <cell r="L38">
            <v>341919.52155549993</v>
          </cell>
          <cell r="M38">
            <v>292.97214209999993</v>
          </cell>
          <cell r="N38">
            <v>298.59030009999998</v>
          </cell>
          <cell r="O38">
            <v>113.04342</v>
          </cell>
          <cell r="P38">
            <v>858.2634569999999</v>
          </cell>
        </row>
        <row r="41">
          <cell r="Q41">
            <v>220179.79981743012</v>
          </cell>
        </row>
      </sheetData>
      <sheetData sheetId="8">
        <row r="8">
          <cell r="B8">
            <v>58921.202134794919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F10">
            <v>87379.427819999997</v>
          </cell>
        </row>
        <row r="11">
          <cell r="F11">
            <v>1390.3835899999999</v>
          </cell>
        </row>
        <row r="12">
          <cell r="F12"/>
        </row>
        <row r="13">
          <cell r="F13"/>
        </row>
        <row r="14">
          <cell r="F14">
            <v>7478.2720200000003</v>
          </cell>
        </row>
        <row r="15">
          <cell r="F15">
            <v>515.75756279999996</v>
          </cell>
        </row>
        <row r="23">
          <cell r="F23">
            <v>96763.840992800004</v>
          </cell>
        </row>
      </sheetData>
      <sheetData sheetId="25">
        <row r="23">
          <cell r="F23">
            <v>17.638297599999898</v>
          </cell>
          <cell r="G23">
            <v>-0.49300609999999984</v>
          </cell>
        </row>
        <row r="24">
          <cell r="F24">
            <v>0</v>
          </cell>
          <cell r="G24">
            <v>3.7027814000000059</v>
          </cell>
        </row>
        <row r="26">
          <cell r="F26">
            <v>38.249689999999987</v>
          </cell>
        </row>
        <row r="27">
          <cell r="F27">
            <v>0.59144459999999999</v>
          </cell>
        </row>
        <row r="28">
          <cell r="F28">
            <v>10.83737</v>
          </cell>
        </row>
        <row r="29">
          <cell r="F29">
            <v>0</v>
          </cell>
        </row>
        <row r="30">
          <cell r="F30">
            <v>138.91945000000001</v>
          </cell>
        </row>
        <row r="31">
          <cell r="F31">
            <v>117.2285481</v>
          </cell>
        </row>
        <row r="32">
          <cell r="F32">
            <v>32.85</v>
          </cell>
        </row>
        <row r="33">
          <cell r="F33">
            <v>778.33802939999975</v>
          </cell>
        </row>
        <row r="34">
          <cell r="F34">
            <v>552.76552370000002</v>
          </cell>
        </row>
      </sheetData>
      <sheetData sheetId="26">
        <row r="17">
          <cell r="F17">
            <v>-1099.5938000000001</v>
          </cell>
        </row>
        <row r="19">
          <cell r="F19">
            <v>19777.585421500004</v>
          </cell>
        </row>
      </sheetData>
      <sheetData sheetId="27">
        <row r="8">
          <cell r="F8">
            <v>13998.672027233295</v>
          </cell>
        </row>
        <row r="12">
          <cell r="F12">
            <v>6.9629981999999284</v>
          </cell>
        </row>
      </sheetData>
      <sheetData sheetId="28">
        <row r="10">
          <cell r="F10">
            <v>5836.4619773999975</v>
          </cell>
        </row>
        <row r="11">
          <cell r="F11">
            <v>544.4446441</v>
          </cell>
        </row>
        <row r="12">
          <cell r="F12">
            <v>32.948014999999998</v>
          </cell>
        </row>
        <row r="13">
          <cell r="F13">
            <v>1723.2836150000001</v>
          </cell>
        </row>
        <row r="16">
          <cell r="F16">
            <v>342.78413999999998</v>
          </cell>
        </row>
        <row r="17">
          <cell r="F17">
            <v>0.29543999999999998</v>
          </cell>
        </row>
        <row r="18">
          <cell r="F18">
            <v>673.39082380000002</v>
          </cell>
        </row>
        <row r="24">
          <cell r="F24">
            <v>11.8</v>
          </cell>
        </row>
        <row r="25">
          <cell r="F25">
            <v>1.77</v>
          </cell>
        </row>
        <row r="31">
          <cell r="F31">
            <v>33.842678330790569</v>
          </cell>
        </row>
        <row r="32">
          <cell r="F32">
            <v>499.51557320000006</v>
          </cell>
        </row>
        <row r="33">
          <cell r="F33">
            <v>435.45593376863542</v>
          </cell>
        </row>
        <row r="34">
          <cell r="F34">
            <v>1722.6689873</v>
          </cell>
        </row>
        <row r="45">
          <cell r="F45">
            <v>-98.240410099999991</v>
          </cell>
        </row>
      </sheetData>
      <sheetData sheetId="29"/>
      <sheetData sheetId="30"/>
      <sheetData sheetId="31"/>
      <sheetData sheetId="32"/>
      <sheetData sheetId="33"/>
      <sheetData sheetId="34">
        <row r="14">
          <cell r="B14">
            <v>1684.9283533999999</v>
          </cell>
        </row>
        <row r="19">
          <cell r="C19">
            <v>945.98074999999994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t_SEA"/>
      <sheetName val="Sheet1"/>
      <sheetName val="Sheet2"/>
      <sheetName val="Sheet3"/>
      <sheetName val="Final_SEA"/>
      <sheetName val="Annex_I"/>
      <sheetName val="132KV &amp; ABOVE_A_II"/>
      <sheetName val="33KV_Annex_III"/>
      <sheetName val="CS_Share_A_IV"/>
      <sheetName val="Drawl_A_V"/>
      <sheetName val="PX_Annex-VI"/>
      <sheetName val="EHV_Sales_A_VII(a)"/>
      <sheetName val="SCH._VIII"/>
      <sheetName val="xmer_consumption_VII(b)"/>
      <sheetName val="SCH_VIII_Final"/>
      <sheetName val="Transmission_Loss_Annex-IX"/>
      <sheetName val="JMR_Annex-X"/>
      <sheetName val="DSM Rate-XI"/>
      <sheetName val="OA_Bilt._A_VI"/>
      <sheetName val="Bilt._A_I"/>
      <sheetName val="Sheet4"/>
      <sheetName val="Sheet5"/>
      <sheetName val="PAF-X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Q6">
            <v>19945.026241910004</v>
          </cell>
        </row>
        <row r="10">
          <cell r="Q10">
            <v>23106.2292471494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t_SEA"/>
      <sheetName val="Sheet1"/>
      <sheetName val="Sheet2"/>
      <sheetName val="Sheet3"/>
      <sheetName val="Final_SEA"/>
      <sheetName val="Annex_I"/>
      <sheetName val="132KV &amp; ABOVE_Annex_II"/>
      <sheetName val="33KV_Annex_III"/>
      <sheetName val="CS_Share_Annex-IV"/>
      <sheetName val="Drawl_Annex_V"/>
      <sheetName val="PX_Annex-VI"/>
      <sheetName val="EHV_Sales_A_VII(a)"/>
      <sheetName val="SCH._VIII"/>
      <sheetName val="xmer_consumption_VII(b)"/>
      <sheetName val="SCH_VIII_Final"/>
      <sheetName val="Transmission_Loss_Annex-IX"/>
      <sheetName val="Rev Tr. Loss Annex -IX (3.10.20"/>
      <sheetName val="JMR_Annex-X"/>
      <sheetName val="OA_Bilt._A_VI"/>
      <sheetName val="Bilt._A_I"/>
      <sheetName val="Sheet4"/>
      <sheetName val="Sheet5"/>
      <sheetName val="DSM Rate-XI"/>
      <sheetName val="PAF-X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AO41">
            <v>16250.290724398998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7">
          <cell r="Q7">
            <v>17037.411032219999</v>
          </cell>
        </row>
        <row r="13">
          <cell r="Q13">
            <v>26942.754671731178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"/>
      <sheetName val="Index"/>
      <sheetName val="F1"/>
      <sheetName val="F2"/>
      <sheetName val="F3"/>
      <sheetName val="F4"/>
      <sheetName val="F5"/>
      <sheetName val="F6"/>
      <sheetName val="F7"/>
    </sheetNames>
    <sheetDataSet>
      <sheetData sheetId="0" refreshError="1"/>
      <sheetData sheetId="1" refreshError="1"/>
      <sheetData sheetId="2" refreshError="1"/>
      <sheetData sheetId="3" refreshError="1">
        <row r="31">
          <cell r="E31">
            <v>9.1214306999999994</v>
          </cell>
        </row>
        <row r="102">
          <cell r="E102">
            <v>0.91483572999999918</v>
          </cell>
        </row>
        <row r="103">
          <cell r="E103">
            <v>1.37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928700 08-07-20"/>
      <sheetName val="Sheet1"/>
      <sheetName val="Other expenses"/>
      <sheetName val="Summary"/>
    </sheetNames>
    <sheetDataSet>
      <sheetData sheetId="0"/>
      <sheetData sheetId="1"/>
      <sheetData sheetId="2">
        <row r="10">
          <cell r="B10">
            <v>2228841.0700000003</v>
          </cell>
        </row>
        <row r="16">
          <cell r="B16">
            <v>11402084.780000001</v>
          </cell>
        </row>
        <row r="17">
          <cell r="B17">
            <v>786242.82000000007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3"/>
      <sheetName val="01-02"/>
      <sheetName val="00-01"/>
      <sheetName val="99-00"/>
      <sheetName val="98-99"/>
      <sheetName val="97-98"/>
      <sheetName val="96-97"/>
      <sheetName val="95-96"/>
      <sheetName val="Summary X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  <sheetName val="Sheet5"/>
      <sheetName val="Working"/>
    </sheetNames>
    <sheetDataSet>
      <sheetData sheetId="0"/>
      <sheetData sheetId="1"/>
      <sheetData sheetId="2">
        <row r="20">
          <cell r="G20">
            <v>0.90277451900000016</v>
          </cell>
        </row>
        <row r="21">
          <cell r="G21">
            <v>1.6957845509999998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Working"/>
    </sheetNames>
    <sheetDataSet>
      <sheetData sheetId="0" refreshError="1"/>
      <sheetData sheetId="1" refreshError="1"/>
      <sheetData sheetId="2" refreshError="1"/>
      <sheetData sheetId="3">
        <row r="2">
          <cell r="F2">
            <v>16412542.789999999</v>
          </cell>
        </row>
        <row r="17">
          <cell r="F17">
            <v>64584</v>
          </cell>
        </row>
        <row r="18">
          <cell r="F18">
            <v>37301</v>
          </cell>
        </row>
        <row r="19">
          <cell r="F19">
            <v>80766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ARR Summary"/>
      <sheetName val="Capital Structure"/>
      <sheetName val="Tariff Order 2016-17 30.4.2016"/>
      <sheetName val="GFA - Means of Finance"/>
      <sheetName val="Depreciation Rate"/>
      <sheetName val="Depreciation"/>
      <sheetName val="Interest on Loan"/>
      <sheetName val="Return On Equity"/>
      <sheetName val="Employee Expenses"/>
      <sheetName val="A&amp;G and R&amp;M Expenses"/>
      <sheetName val="Normative O&amp;M &amp; P&amp;G Expense"/>
      <sheetName val="IOWC"/>
      <sheetName val="TSAF "/>
      <sheetName val="Losses"/>
      <sheetName val="Revenue Surplus"/>
      <sheetName val="WPI"/>
      <sheetName val="CPI"/>
    </sheetNames>
    <sheetDataSet>
      <sheetData sheetId="0"/>
      <sheetData sheetId="1">
        <row r="17">
          <cell r="F17">
            <v>22.35</v>
          </cell>
        </row>
      </sheetData>
      <sheetData sheetId="2">
        <row r="10">
          <cell r="M10">
            <v>662.18</v>
          </cell>
        </row>
      </sheetData>
      <sheetData sheetId="3"/>
      <sheetData sheetId="4"/>
      <sheetData sheetId="5"/>
      <sheetData sheetId="6"/>
      <sheetData sheetId="7">
        <row r="6">
          <cell r="F6">
            <v>113.56099999999998</v>
          </cell>
        </row>
      </sheetData>
      <sheetData sheetId="8">
        <row r="5">
          <cell r="G5">
            <v>48.668999999999997</v>
          </cell>
        </row>
      </sheetData>
      <sheetData sheetId="9">
        <row r="13">
          <cell r="F13">
            <v>209.94573129924422</v>
          </cell>
        </row>
      </sheetData>
      <sheetData sheetId="10"/>
      <sheetData sheetId="11">
        <row r="4">
          <cell r="E4">
            <v>38.71</v>
          </cell>
        </row>
        <row r="5">
          <cell r="E5">
            <v>39.67</v>
          </cell>
        </row>
      </sheetData>
      <sheetData sheetId="12"/>
      <sheetData sheetId="13"/>
      <sheetData sheetId="14"/>
      <sheetData sheetId="15"/>
      <sheetData sheetId="16"/>
      <sheetData sheetId="17">
        <row r="17">
          <cell r="P17">
            <v>7.5298694081689294E-2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 Summary"/>
      <sheetName val="GFA Linked Components"/>
      <sheetName val="O&amp;M Expenses"/>
      <sheetName val="Working Capital"/>
      <sheetName val="details of employee, R&amp;M and AG"/>
      <sheetName val="Escalation of HR"/>
      <sheetName val="Escalation of PG"/>
      <sheetName val="Escalation of AG"/>
      <sheetName val="Escalation of RM"/>
      <sheetName val="Revenue Gap &amp; SLDC charges"/>
      <sheetName val="CPI"/>
      <sheetName val="WPI"/>
      <sheetName val="F1"/>
      <sheetName val="F2"/>
      <sheetName val="F3"/>
      <sheetName val="F4"/>
      <sheetName val="F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Q18">
            <v>1.2725779967159253E-2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ARR Summary"/>
      <sheetName val="Capital Structure"/>
      <sheetName val="GFA - Means of Finance"/>
      <sheetName val="Depreciation Rate"/>
      <sheetName val="Depreciation"/>
      <sheetName val="Interest on Loan"/>
      <sheetName val="Return On Equity"/>
      <sheetName val="Employee Expenses"/>
      <sheetName val="A&amp;G and R&amp;M Expenses"/>
      <sheetName val="Normative O&amp;M"/>
      <sheetName val="IOWC"/>
      <sheetName val="TSAF "/>
      <sheetName val="Losses"/>
      <sheetName val="Revenue Surplus"/>
      <sheetName val="WPI"/>
      <sheetName val="CPI"/>
    </sheetNames>
    <sheetDataSet>
      <sheetData sheetId="0">
        <row r="8">
          <cell r="C8">
            <v>0.1255</v>
          </cell>
        </row>
      </sheetData>
      <sheetData sheetId="1"/>
      <sheetData sheetId="2">
        <row r="20">
          <cell r="F20">
            <v>168.04694845099999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4905.2752169947298</v>
          </cell>
        </row>
      </sheetData>
      <sheetData sheetId="11"/>
      <sheetData sheetId="12"/>
      <sheetData sheetId="13">
        <row r="4">
          <cell r="F4">
            <v>17037.411032219999</v>
          </cell>
        </row>
        <row r="7">
          <cell r="F7">
            <v>9528.4276595989977</v>
          </cell>
        </row>
        <row r="8">
          <cell r="F8">
            <v>1199.6240909933335</v>
          </cell>
        </row>
        <row r="10">
          <cell r="F10">
            <v>2764.755361</v>
          </cell>
        </row>
        <row r="11">
          <cell r="F11">
            <v>24177.999310731178</v>
          </cell>
        </row>
      </sheetData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ARR Summary"/>
      <sheetName val="Capital Structure"/>
      <sheetName val="GFA - Means of Finance"/>
      <sheetName val="Depreciation Rate"/>
      <sheetName val="Depreciation"/>
      <sheetName val="Interest on Loan"/>
      <sheetName val="Return On Equity"/>
      <sheetName val="Employee Expenses"/>
      <sheetName val="A&amp;G and R&amp;M Expenses"/>
      <sheetName val="Sharing of Gain (Loss)"/>
      <sheetName val="IOWC"/>
      <sheetName val="TSAF "/>
      <sheetName val="Losses"/>
      <sheetName val="Revenue Gap"/>
      <sheetName val="Sheet1"/>
      <sheetName val="WPI"/>
      <sheetName val="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E11">
            <v>5278.4065457042298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"/>
      <sheetName val="Sheet2"/>
      <sheetName val="Sheet6"/>
      <sheetName val="Sheet8"/>
      <sheetName val="DEP AC CODE WISE"/>
      <sheetName val="PP DEP JV"/>
      <sheetName val="RATE"/>
      <sheetName val="DEP JV"/>
      <sheetName val="CSPTCL FAR 2021-22"/>
      <sheetName val="Sheet14"/>
      <sheetName val="Deposit Works"/>
      <sheetName val="dep rate"/>
      <sheetName val="Sheet3"/>
      <sheetName val="Sheet1"/>
      <sheetName val="Sheet5"/>
      <sheetName val="Sheet4"/>
      <sheetName val="Sheet7"/>
      <sheetName val="Sheet10"/>
      <sheetName val="Sheet11"/>
      <sheetName val="Sheet9"/>
      <sheetName val="Sheet12"/>
      <sheetName val="DEPOSIT WORK ENTRY PEN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3">
          <cell r="G63">
            <v>60.362829188000021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F9">
            <v>8.7505429999999995E-2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F Loan"/>
      <sheetName val="Annexure H(SBI)"/>
      <sheetName val="REC loan"/>
      <sheetName val="Sheet1"/>
    </sheetNames>
    <sheetDataSet>
      <sheetData sheetId="0">
        <row r="30">
          <cell r="E30">
            <v>6689407535</v>
          </cell>
          <cell r="K30">
            <v>982152192</v>
          </cell>
          <cell r="W30">
            <v>659644627</v>
          </cell>
        </row>
      </sheetData>
      <sheetData sheetId="1">
        <row r="6">
          <cell r="C6">
            <v>899517000</v>
          </cell>
        </row>
        <row r="13">
          <cell r="C13">
            <v>791867000</v>
          </cell>
        </row>
        <row r="19">
          <cell r="G19">
            <v>68481811</v>
          </cell>
        </row>
      </sheetData>
      <sheetData sheetId="2">
        <row r="6">
          <cell r="C6">
            <v>6730073139.1099997</v>
          </cell>
        </row>
        <row r="12">
          <cell r="G12">
            <v>648191638.4755342</v>
          </cell>
        </row>
        <row r="15">
          <cell r="C15">
            <v>64288223</v>
          </cell>
        </row>
        <row r="16">
          <cell r="C16">
            <v>6916478629.1099997</v>
          </cell>
        </row>
        <row r="17">
          <cell r="G17">
            <v>250693713</v>
          </cell>
        </row>
      </sheetData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C"/>
      <sheetName val="REC loan"/>
      <sheetName val="Sheet1"/>
      <sheetName val="REC Acc Int Annexure"/>
      <sheetName val="Annexure G NABARD"/>
      <sheetName val="Annexure H(SBI)"/>
      <sheetName val="Sheet2"/>
      <sheetName val="Sheet3"/>
    </sheetNames>
    <sheetDataSet>
      <sheetData sheetId="0"/>
      <sheetData sheetId="1"/>
      <sheetData sheetId="2">
        <row r="4">
          <cell r="F4">
            <v>795.33485900000005</v>
          </cell>
          <cell r="G4">
            <v>0</v>
          </cell>
          <cell r="H4">
            <v>126.39410549999999</v>
          </cell>
        </row>
        <row r="5">
          <cell r="F5">
            <v>511.38918776000003</v>
          </cell>
          <cell r="G5">
            <v>168.04694845099999</v>
          </cell>
          <cell r="H5">
            <v>6.4288223000000002</v>
          </cell>
        </row>
        <row r="6">
          <cell r="G6">
            <v>0</v>
          </cell>
          <cell r="H6">
            <v>15.69</v>
          </cell>
        </row>
        <row r="7">
          <cell r="F7">
            <v>100.7167</v>
          </cell>
          <cell r="G7">
            <v>0</v>
          </cell>
          <cell r="H7">
            <v>100.7167</v>
          </cell>
        </row>
        <row r="8">
          <cell r="G8">
            <v>98.03</v>
          </cell>
          <cell r="H8">
            <v>8.0783000000000005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C Loan"/>
      <sheetName val="BOM Loan"/>
      <sheetName val="SBI Loan"/>
      <sheetName val="REC loan"/>
    </sheetNames>
    <sheetDataSet>
      <sheetData sheetId="0">
        <row r="30">
          <cell r="E30">
            <v>5707255343</v>
          </cell>
          <cell r="K30">
            <v>982152198</v>
          </cell>
          <cell r="W30">
            <v>502549338</v>
          </cell>
        </row>
      </sheetData>
      <sheetData sheetId="1">
        <row r="12">
          <cell r="C12">
            <v>0</v>
          </cell>
        </row>
        <row r="14">
          <cell r="C14">
            <v>566774116</v>
          </cell>
        </row>
        <row r="19">
          <cell r="G19">
            <v>3686581</v>
          </cell>
        </row>
      </sheetData>
      <sheetData sheetId="2">
        <row r="6">
          <cell r="C6">
            <v>791867000</v>
          </cell>
        </row>
        <row r="14">
          <cell r="C14">
            <v>10.765000000000001</v>
          </cell>
        </row>
        <row r="19">
          <cell r="G19">
            <v>54793829</v>
          </cell>
        </row>
      </sheetData>
      <sheetData sheetId="3">
        <row r="6">
          <cell r="C6">
            <v>6916478629.1099997</v>
          </cell>
        </row>
        <row r="11">
          <cell r="D11">
            <v>212.07733744999999</v>
          </cell>
        </row>
        <row r="12">
          <cell r="G12">
            <v>814374516.49214756</v>
          </cell>
        </row>
        <row r="15">
          <cell r="D15">
            <v>34.237929927000003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8.7505429999999995E-2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0% DEP ASSETS"/>
    </sheetNames>
    <sheetDataSet>
      <sheetData sheetId="0"/>
      <sheetData sheetId="1">
        <row r="1410">
          <cell r="F1410">
            <v>2.113404939826891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0% DEP ASSETS"/>
    </sheetNames>
    <sheetDataSet>
      <sheetData sheetId="0" refreshError="1"/>
      <sheetData sheetId="1">
        <row r="1476">
          <cell r="F1476">
            <v>4.7145878340548002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"/>
      <sheetName val="ARR"/>
      <sheetName val="ARR PU"/>
      <sheetName val="O&amp;M"/>
      <sheetName val="TI, PPIE, NTI, STOA"/>
      <sheetName val="CR"/>
      <sheetName val="DEP"/>
      <sheetName val="IWC"/>
      <sheetName val="TL INCENTIVE"/>
      <sheetName val="FORMATS"/>
      <sheetName val="S1"/>
      <sheetName val="S2"/>
      <sheetName val="S3"/>
      <sheetName val="F1"/>
      <sheetName val="F2"/>
      <sheetName val="F5"/>
      <sheetName val="F6"/>
      <sheetName val="F6A"/>
      <sheetName val="F6B"/>
      <sheetName val="F7"/>
      <sheetName val="F8"/>
      <sheetName val="F9"/>
      <sheetName val="F10"/>
      <sheetName val="F11"/>
      <sheetName val="F12"/>
      <sheetName val="F13"/>
    </sheetNames>
    <sheetDataSet>
      <sheetData sheetId="0"/>
      <sheetData sheetId="1">
        <row r="8">
          <cell r="B8">
            <v>1</v>
          </cell>
        </row>
      </sheetData>
      <sheetData sheetId="2"/>
      <sheetData sheetId="3"/>
      <sheetData sheetId="4"/>
      <sheetData sheetId="5">
        <row r="16">
          <cell r="K16">
            <v>3348.8827810044581</v>
          </cell>
        </row>
        <row r="92">
          <cell r="B92">
            <v>1</v>
          </cell>
          <cell r="C92" t="str">
            <v>Borrowed Loan in Opening GFA</v>
          </cell>
        </row>
        <row r="93">
          <cell r="B93">
            <v>2</v>
          </cell>
          <cell r="C93" t="str">
            <v>Opening Normative Loan</v>
          </cell>
        </row>
        <row r="94">
          <cell r="B94">
            <v>3</v>
          </cell>
          <cell r="C94" t="str">
            <v>Total Opening Gross Loan</v>
          </cell>
        </row>
        <row r="95">
          <cell r="B95">
            <v>4</v>
          </cell>
          <cell r="C95" t="str">
            <v>Repayment till previous year</v>
          </cell>
        </row>
        <row r="96">
          <cell r="B96">
            <v>5</v>
          </cell>
          <cell r="C96" t="str">
            <v>Total Opening Net Loan</v>
          </cell>
        </row>
        <row r="97">
          <cell r="B97">
            <v>6</v>
          </cell>
          <cell r="C97" t="str">
            <v>Repayment during the period</v>
          </cell>
        </row>
        <row r="98">
          <cell r="B98">
            <v>7</v>
          </cell>
          <cell r="C98" t="str">
            <v xml:space="preserve">Additional Capitalization of Borrowed Loan during the year </v>
          </cell>
        </row>
        <row r="99">
          <cell r="B99">
            <v>8</v>
          </cell>
          <cell r="C99" t="str">
            <v>Addition/(Reduction) in Normative Loan during the year</v>
          </cell>
        </row>
        <row r="100">
          <cell r="B100">
            <v>9</v>
          </cell>
          <cell r="C100" t="str">
            <v>Total Closing Net Loan</v>
          </cell>
        </row>
        <row r="101">
          <cell r="B101">
            <v>10</v>
          </cell>
          <cell r="C101" t="str">
            <v>Average Loan during the year</v>
          </cell>
        </row>
        <row r="102">
          <cell r="B102">
            <v>11</v>
          </cell>
          <cell r="C102" t="str">
            <v>Weighted Average Interest Rate</v>
          </cell>
        </row>
        <row r="104">
          <cell r="B104">
            <v>12</v>
          </cell>
          <cell r="C104" t="str">
            <v>Interest Expense for the Period</v>
          </cell>
        </row>
      </sheetData>
      <sheetData sheetId="6">
        <row r="8">
          <cell r="M8">
            <v>3792.0527810044582</v>
          </cell>
        </row>
        <row r="25">
          <cell r="B25" t="str">
            <v>Sr. No</v>
          </cell>
          <cell r="C25" t="str">
            <v>Particulars</v>
          </cell>
        </row>
        <row r="46">
          <cell r="C46" t="str">
            <v>Total Tangible Assets</v>
          </cell>
        </row>
        <row r="48">
          <cell r="C48" t="str">
            <v>Weighted Average Rate of Depreciation</v>
          </cell>
        </row>
      </sheetData>
      <sheetData sheetId="7">
        <row r="8">
          <cell r="C8" t="str">
            <v>O&amp;M</v>
          </cell>
        </row>
        <row r="9">
          <cell r="C9" t="str">
            <v>Maintenance Spares</v>
          </cell>
        </row>
        <row r="10">
          <cell r="C10" t="str">
            <v>Receivables</v>
          </cell>
        </row>
        <row r="11">
          <cell r="C11" t="str">
            <v>Total WC requirement</v>
          </cell>
        </row>
        <row r="12">
          <cell r="C12" t="str">
            <v>Less: Int on SD from Trans. Users</v>
          </cell>
        </row>
        <row r="13">
          <cell r="C13" t="str">
            <v xml:space="preserve">Gross Interest on Working Capital </v>
          </cell>
        </row>
        <row r="14">
          <cell r="C14" t="str">
            <v>Rate of Interest on WC</v>
          </cell>
        </row>
        <row r="15">
          <cell r="C15" t="str">
            <v>Net Interest on Working Capital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 St - Indirect"/>
      <sheetName val="SOCE a."/>
      <sheetName val="SOCE b."/>
      <sheetName val="Accounting Policies "/>
      <sheetName val="PPE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Segment Note"/>
      <sheetName val="Contingent Liabilities (1)"/>
      <sheetName val="Contingent Liabilities"/>
      <sheetName val="Financial Instrument Disclosure"/>
      <sheetName val="Employee Benefits "/>
      <sheetName val="Other Notes carried fwd"/>
      <sheetName val="Other not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Q21">
            <v>16830027638.154335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t_SEA"/>
      <sheetName val="Sheet1"/>
      <sheetName val="Sheet2"/>
      <sheetName val="Sheet3"/>
      <sheetName val="Final_SEA"/>
      <sheetName val="Annex_I"/>
      <sheetName val="132KV &amp; ABOVE_A_II"/>
      <sheetName val="33KV_Annex_III"/>
      <sheetName val="CS_Share_A_IV"/>
      <sheetName val="Drawl_A_V"/>
      <sheetName val="PX_Annex-VI"/>
      <sheetName val="EHV_Sales_A_VII(a)"/>
      <sheetName val="SCH._VIII"/>
      <sheetName val="xmer_consumption_VII(b)"/>
      <sheetName val="SCH_VIII_Final"/>
      <sheetName val="Transmission_Loss_Annex-IX"/>
      <sheetName val="JMR_Annex-X"/>
      <sheetName val="DSM Rate-XI"/>
      <sheetName val="OA_Bilt._A_VI"/>
      <sheetName val="Bilt._A_I"/>
      <sheetName val="Sheet4"/>
      <sheetName val="Sheet5"/>
      <sheetName val="PAF-X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Q6">
            <v>19945.026241910004</v>
          </cell>
        </row>
        <row r="7">
          <cell r="Q7">
            <v>5979.5733551639987</v>
          </cell>
        </row>
        <row r="8">
          <cell r="Q8">
            <v>889.43423033333329</v>
          </cell>
        </row>
        <row r="10">
          <cell r="Q10">
            <v>23106.2292471494</v>
          </cell>
        </row>
        <row r="11">
          <cell r="Q11">
            <v>2879.7221729999997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FY 18-19"/>
      <sheetName val="Opening reversal working"/>
      <sheetName val="Paste Special"/>
      <sheetName val="Pivot IND AS Groupings"/>
    </sheetNames>
    <sheetDataSet>
      <sheetData sheetId="0">
        <row r="186">
          <cell r="G186">
            <v>1528581561.3800001</v>
          </cell>
        </row>
        <row r="187">
          <cell r="G187">
            <v>-5948580</v>
          </cell>
        </row>
        <row r="188">
          <cell r="G188">
            <v>35653827</v>
          </cell>
        </row>
        <row r="189">
          <cell r="G189">
            <v>13415790</v>
          </cell>
        </row>
        <row r="190">
          <cell r="G190">
            <v>57654006.310000002</v>
          </cell>
        </row>
        <row r="191">
          <cell r="G191">
            <v>-7942803</v>
          </cell>
        </row>
        <row r="192">
          <cell r="G192">
            <v>15949420</v>
          </cell>
        </row>
        <row r="193">
          <cell r="G193">
            <v>1248660.01</v>
          </cell>
        </row>
        <row r="194">
          <cell r="G194">
            <v>300.12</v>
          </cell>
        </row>
        <row r="195">
          <cell r="G195">
            <v>149635816.69</v>
          </cell>
        </row>
        <row r="196">
          <cell r="G196">
            <v>14855553.58</v>
          </cell>
        </row>
        <row r="197">
          <cell r="G197">
            <v>2510770</v>
          </cell>
        </row>
        <row r="198">
          <cell r="G198">
            <v>1216525.1200000001</v>
          </cell>
        </row>
        <row r="199">
          <cell r="G199">
            <v>2338490</v>
          </cell>
        </row>
        <row r="200">
          <cell r="G200">
            <v>22809656.800000001</v>
          </cell>
        </row>
        <row r="201">
          <cell r="G201">
            <v>8405094</v>
          </cell>
        </row>
        <row r="202">
          <cell r="G202">
            <v>4448</v>
          </cell>
        </row>
        <row r="203">
          <cell r="G203">
            <v>11832991</v>
          </cell>
        </row>
        <row r="206">
          <cell r="G206">
            <v>38987477.5</v>
          </cell>
        </row>
        <row r="208">
          <cell r="G208">
            <v>2200</v>
          </cell>
        </row>
        <row r="209">
          <cell r="G209">
            <v>1337931</v>
          </cell>
        </row>
        <row r="211">
          <cell r="G211">
            <v>11290987</v>
          </cell>
        </row>
        <row r="212">
          <cell r="G212">
            <v>267315.16000000003</v>
          </cell>
        </row>
        <row r="213">
          <cell r="G213">
            <v>25000</v>
          </cell>
        </row>
        <row r="214">
          <cell r="G214">
            <v>448488</v>
          </cell>
        </row>
        <row r="215">
          <cell r="G215">
            <v>0</v>
          </cell>
        </row>
        <row r="216">
          <cell r="G216">
            <v>14961782.35</v>
          </cell>
        </row>
        <row r="217">
          <cell r="G217">
            <v>4408469.83</v>
          </cell>
        </row>
        <row r="218">
          <cell r="G218">
            <v>718941.93</v>
          </cell>
        </row>
        <row r="219">
          <cell r="G219">
            <v>288949</v>
          </cell>
        </row>
        <row r="220">
          <cell r="G220">
            <v>1785145</v>
          </cell>
        </row>
        <row r="221">
          <cell r="G221">
            <v>3690</v>
          </cell>
        </row>
        <row r="222">
          <cell r="G222">
            <v>-133636586.49999997</v>
          </cell>
        </row>
        <row r="254">
          <cell r="G254">
            <v>295147.32999999996</v>
          </cell>
        </row>
        <row r="263">
          <cell r="G263">
            <v>-15048</v>
          </cell>
        </row>
        <row r="388">
          <cell r="G388">
            <v>7771</v>
          </cell>
        </row>
        <row r="389">
          <cell r="G389">
            <v>414631</v>
          </cell>
        </row>
        <row r="390">
          <cell r="G390">
            <v>140300</v>
          </cell>
        </row>
        <row r="392">
          <cell r="G392">
            <v>253983.53999999998</v>
          </cell>
        </row>
        <row r="393">
          <cell r="G393">
            <v>17476.900000000001</v>
          </cell>
        </row>
        <row r="394">
          <cell r="G394">
            <v>171248</v>
          </cell>
        </row>
        <row r="395">
          <cell r="G395">
            <v>17476.900000000001</v>
          </cell>
        </row>
        <row r="396">
          <cell r="G396">
            <v>168691.26</v>
          </cell>
        </row>
      </sheetData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19-20"/>
      <sheetName val="Pivot TB"/>
      <sheetName val="TB(PS)"/>
      <sheetName val="Rectification Entry"/>
      <sheetName val="Rectification Pivot"/>
      <sheetName val="Notings"/>
      <sheetName val="Interest on CC"/>
    </sheetNames>
    <sheetDataSet>
      <sheetData sheetId="0">
        <row r="402">
          <cell r="E402">
            <v>3913563</v>
          </cell>
        </row>
      </sheetData>
      <sheetData sheetId="1"/>
      <sheetData sheetId="2">
        <row r="4">
          <cell r="B4">
            <v>-359438930</v>
          </cell>
        </row>
      </sheetData>
      <sheetData sheetId="3">
        <row r="782">
          <cell r="I782">
            <v>127445008.87935524</v>
          </cell>
        </row>
      </sheetData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19-20"/>
      <sheetName val="18-19"/>
      <sheetName val="17-18"/>
      <sheetName val="1617"/>
    </sheetNames>
    <sheetDataSet>
      <sheetData sheetId="0" refreshError="1">
        <row r="244">
          <cell r="J244">
            <v>25583281.099999994</v>
          </cell>
        </row>
        <row r="259">
          <cell r="J259">
            <v>793</v>
          </cell>
        </row>
        <row r="400">
          <cell r="J400">
            <v>14460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B 21-22"/>
      <sheetName val="Paste Special"/>
      <sheetName val="Rectification Entry(20-21)"/>
      <sheetName val="Sheet1"/>
    </sheetNames>
    <sheetDataSet>
      <sheetData sheetId="0"/>
      <sheetData sheetId="1">
        <row r="1">
          <cell r="A1" t="str">
            <v>Run on 11/07/2022</v>
          </cell>
        </row>
        <row r="167">
          <cell r="J167">
            <v>0.28599999999999998</v>
          </cell>
        </row>
        <row r="184">
          <cell r="J184">
            <v>378.21695269999998</v>
          </cell>
        </row>
        <row r="359">
          <cell r="J359">
            <v>0</v>
          </cell>
        </row>
      </sheetData>
      <sheetData sheetId="2">
        <row r="5">
          <cell r="D5">
            <v>-10000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S"/>
      <sheetName val="PL"/>
      <sheetName val="CF St - Indirect"/>
      <sheetName val="SOCE a."/>
      <sheetName val="SOCE b."/>
      <sheetName val="Accounting Policies "/>
      <sheetName val="PPE"/>
      <sheetName val="Loans"/>
      <sheetName val="Other financial assets"/>
      <sheetName val="Tax Assets"/>
      <sheetName val="Other assets"/>
      <sheetName val="Inventories"/>
      <sheetName val="Investment"/>
      <sheetName val="Trade rec"/>
      <sheetName val="Cash &amp; bank"/>
      <sheetName val="Equity cap"/>
      <sheetName val="Other Equity"/>
      <sheetName val="NC borrowing"/>
      <sheetName val="Other FL"/>
      <sheetName val="Provision"/>
      <sheetName val="Trade payable"/>
      <sheetName val="Other liab"/>
      <sheetName val="31 Revenue"/>
      <sheetName val="32. Other income"/>
      <sheetName val="35. employee benefit exp"/>
      <sheetName val="36. Finance cost"/>
      <sheetName val="37.  Other expense"/>
      <sheetName val="Note 25 - Exceptional"/>
      <sheetName val="Tax disclosure"/>
      <sheetName val="EPS"/>
      <sheetName val="Specific Notes"/>
      <sheetName val="Contingent Liabilities"/>
      <sheetName val="Segment Note"/>
      <sheetName val="Contingent Liabilities (1)"/>
      <sheetName val="Financial Instrument Disclosure"/>
      <sheetName val="Employee Benefits "/>
      <sheetName val="Other Notes carried fwd"/>
      <sheetName val="Other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F13">
            <v>274780300</v>
          </cell>
        </row>
        <row r="17">
          <cell r="F17">
            <v>15775312.75</v>
          </cell>
        </row>
        <row r="18">
          <cell r="F18">
            <v>1344</v>
          </cell>
        </row>
        <row r="33">
          <cell r="F33">
            <v>30575312.849999998</v>
          </cell>
        </row>
        <row r="35">
          <cell r="F35">
            <v>176727064.92999998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LU"/>
      <sheetName val="TGL LU"/>
      <sheetName val="Load  &amp; Thermal Curv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4"/>
      <sheetName val="2005-2010"/>
      <sheetName val="PG"/>
      <sheetName val="P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Unit_Rate"/>
      <sheetName val="160MVA_Addl"/>
      <sheetName val="220KV_FB"/>
      <sheetName val="315MVA_Addl"/>
      <sheetName val="Addl_401"/>
      <sheetName val="Addl_20"/>
      <sheetName val="Addl_63_(2)"/>
      <sheetName val="132kv DCDS"/>
      <sheetName val=""/>
      <sheetName val="04REL"/>
      <sheetName val="A 3_7"/>
      <sheetName val="data"/>
      <sheetName val="Data base Feb 09"/>
      <sheetName val="grid"/>
      <sheetName val="Salient1"/>
      <sheetName val="Cat_Ser_load"/>
      <sheetName val="Sheet1"/>
      <sheetName val="PACK (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 COST (g) (2)"/>
      <sheetName val="WEIGHT COST (g)"/>
      <sheetName val="cos-04-05 "/>
      <sheetName val="ptc-mnt"/>
      <sheetName val="cos-02-03 "/>
      <sheetName val="cos-03-04"/>
      <sheetName val="cos-01-02"/>
      <sheetName val="cos-01-02 (vs)"/>
      <sheetName val="jindal-hindi (vs)"/>
      <sheetName val="Sheet3"/>
      <sheetName val="N T P C"/>
      <sheetName val="Sheet2"/>
      <sheetName val="N P C (paid)"/>
      <sheetName val="heg"/>
      <sheetName val="wrldc"/>
      <sheetName val="PGCIL"/>
      <sheetName val="N P C"/>
      <sheetName val="PGCIL 02-03"/>
      <sheetName val="Ispat Godavary"/>
      <sheetName val="CEC"/>
      <sheetName val="INDO LAHARI"/>
      <sheetName val="jindal-hindi"/>
      <sheetName val="Nico"/>
      <sheetName val="balco"/>
      <sheetName val="vandna"/>
      <sheetName val="prakash (infirm)"/>
      <sheetName val="Sheet1"/>
      <sheetName val="prakash"/>
      <sheetName val="mnt-purchase"/>
      <sheetName val="jindal"/>
      <sheetName val="jindal-GEB"/>
      <sheetName val="PTC 03-04"/>
      <sheetName val="PTC-pmt"/>
      <sheetName val="PTC 04-05"/>
      <sheetName val="NTPCVVN"/>
      <sheetName val="WEIGHT COST (g)copy"/>
      <sheetName val="CSP 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Zuhaib Syed" id="{B5479A4D-76DD-4BBB-8EF4-A7F0E2DE680B}" userId="S::Zuhaib.Syed@in.ey.com::9c2e20e4-ca78-4c49-8292-a20980f76cd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7" dT="2022-10-14T11:19:51.44" personId="{B5479A4D-76DD-4BBB-8EF4-A7F0E2DE680B}" id="{92A93C0F-637C-449B-9411-6A79CE2C65BD}">
    <text>Para 8.10 Page 258 CSERC Tariff Order 2021-22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84" dT="2022-10-15T20:48:11.74" personId="{B5479A4D-76DD-4BBB-8EF4-A7F0E2DE680B}" id="{A84E1D8F-0DE9-4B4A-8C8B-D0978269228B}">
    <text>Table 4.11 Pg 128 Tariff Order FY 2022-23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O70" dT="2022-10-15T22:33:52.22" personId="{B5479A4D-76DD-4BBB-8EF4-A7F0E2DE680B}" id="{0CFA4AE8-1106-4F9D-9D18-A2403B64C376}">
    <text>Order</text>
  </threadedComment>
  <threadedComment ref="M77" dT="2021-11-10T13:31:09.05" personId="{B5479A4D-76DD-4BBB-8EF4-A7F0E2DE680B}" id="{55F21A74-7630-4EBD-B66E-C6EE868402E6}">
    <text>IOL + Bank Charges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O10" dT="2022-10-18T10:42:46.33" personId="{B5479A4D-76DD-4BBB-8EF4-A7F0E2DE680B}" id="{799867EE-35B4-4933-B3F9-0CB92A5887CD}">
    <text>ACE of ₹ 0.09 in SLDC deducted from the capitalization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5" dT="2022-11-10T11:34:07.46" personId="{B5479A4D-76DD-4BBB-8EF4-A7F0E2DE680B}" id="{71268B72-40DE-428E-BBD1-1731508ECC43}">
    <text>Order dated 2.8.2021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I11" dT="2022-11-13T12:07:10.29" personId="{B5479A4D-76DD-4BBB-8EF4-A7F0E2DE680B}" id="{7BE223A4-7B92-4747-9648-4E591620E5D6}">
    <text>5.29 which accounts for sum of import of data of transformers and import data of GS feeder's import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M12" dT="2021-11-15T02:39:28.75" personId="{B5479A4D-76DD-4BBB-8EF4-A7F0E2DE680B}" id="{F0990DB6-A02B-49FB-B2D1-2800C2674516}">
    <text>Deducted CSR+Penalty</text>
  </threadedComment>
  <threadedComment ref="F15" dT="2021-11-15T02:39:28.75" personId="{B5479A4D-76DD-4BBB-8EF4-A7F0E2DE680B}" id="{22B1A823-2661-4D5E-AF65-F490880ABAAF}">
    <text>Deducted CSR+Penalty</text>
  </threadedComment>
  <threadedComment ref="G15" dT="2022-10-19T06:36:59.85" personId="{B5479A4D-76DD-4BBB-8EF4-A7F0E2DE680B}" id="{F2F7007B-6AAA-4876-8644-D524A40A22DF}">
    <text>deducted penalty+csr</text>
  </threadedComment>
  <threadedComment ref="L15" dT="2021-11-15T02:39:28.75" personId="{B5479A4D-76DD-4BBB-8EF4-A7F0E2DE680B}" id="{2E9422E3-F597-45CB-9414-E2CA6941EC54}">
    <text>Deducted CSR+Penalty</text>
  </threadedComment>
  <threadedComment ref="F18" dT="2021-11-15T02:39:52.37" personId="{B5479A4D-76DD-4BBB-8EF4-A7F0E2DE680B}" id="{8BE2A0BF-3ADB-4F43-88F2-8E88B0814C00}">
    <text>deducted shortage of inventory</text>
  </threadedComment>
  <threadedComment ref="G18" dT="2022-10-14T20:35:21.26" personId="{B5479A4D-76DD-4BBB-8EF4-A7F0E2DE680B}" id="{33B3FCAF-10F7-4D13-A256-1429FA4EBD8E}">
    <text>Shortage of Inventory deducted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ea.nic.in/wp-content/uploads/power_supply/2022/09/psp_peak_092022.pdf" TargetMode="External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bi.co.in/portal/web/interest-rates/base-rate-historical-dat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Relationship Id="rId4" Type="http://schemas.microsoft.com/office/2017/10/relationships/threadedComment" Target="../threadedComments/threadedComment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Relationship Id="rId4" Type="http://schemas.microsoft.com/office/2017/10/relationships/threadedComment" Target="../threadedComments/threadedComment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showGridLines="0" view="pageBreakPreview" zoomScaleNormal="100" zoomScaleSheetLayoutView="100" workbookViewId="0">
      <selection activeCell="D20" sqref="D20"/>
    </sheetView>
  </sheetViews>
  <sheetFormatPr defaultColWidth="9.33203125" defaultRowHeight="13.8" x14ac:dyDescent="0.3"/>
  <cols>
    <col min="1" max="1" width="3.6640625" style="1" customWidth="1"/>
    <col min="2" max="2" width="5.5546875" style="1" bestFit="1" customWidth="1"/>
    <col min="3" max="3" width="61.33203125" style="1" bestFit="1" customWidth="1"/>
    <col min="4" max="16384" width="9.33203125" style="1"/>
  </cols>
  <sheetData>
    <row r="2" spans="2:4" x14ac:dyDescent="0.3">
      <c r="B2" s="582" t="s">
        <v>0</v>
      </c>
      <c r="C2" s="582"/>
      <c r="D2" s="582"/>
    </row>
    <row r="3" spans="2:4" ht="14.4" thickBot="1" x14ac:dyDescent="0.35">
      <c r="B3" s="13" t="s">
        <v>1</v>
      </c>
      <c r="C3" s="13" t="s">
        <v>2</v>
      </c>
      <c r="D3" s="13" t="s">
        <v>3</v>
      </c>
    </row>
    <row r="5" spans="2:4" x14ac:dyDescent="0.3">
      <c r="B5" s="19">
        <v>1</v>
      </c>
      <c r="C5" s="1" t="s">
        <v>4</v>
      </c>
      <c r="D5" s="19" t="s">
        <v>5</v>
      </c>
    </row>
    <row r="6" spans="2:4" x14ac:dyDescent="0.3">
      <c r="B6" s="19">
        <v>2</v>
      </c>
      <c r="C6" s="1" t="s">
        <v>6</v>
      </c>
      <c r="D6" s="19" t="s">
        <v>7</v>
      </c>
    </row>
    <row r="7" spans="2:4" x14ac:dyDescent="0.3">
      <c r="B7" s="19">
        <v>3</v>
      </c>
      <c r="C7" s="1" t="s">
        <v>8</v>
      </c>
      <c r="D7" s="19" t="s">
        <v>9</v>
      </c>
    </row>
    <row r="8" spans="2:4" x14ac:dyDescent="0.3">
      <c r="B8" s="19">
        <v>4</v>
      </c>
      <c r="C8" s="1" t="s">
        <v>10</v>
      </c>
      <c r="D8" s="19" t="s">
        <v>11</v>
      </c>
    </row>
    <row r="9" spans="2:4" x14ac:dyDescent="0.3">
      <c r="B9" s="19">
        <v>5</v>
      </c>
      <c r="C9" s="1" t="s">
        <v>12</v>
      </c>
      <c r="D9" s="19" t="s">
        <v>13</v>
      </c>
    </row>
    <row r="10" spans="2:4" x14ac:dyDescent="0.3">
      <c r="B10" s="19">
        <v>6</v>
      </c>
      <c r="C10" s="1" t="s">
        <v>14</v>
      </c>
      <c r="D10" s="19" t="s">
        <v>15</v>
      </c>
    </row>
    <row r="11" spans="2:4" x14ac:dyDescent="0.3">
      <c r="B11" s="19">
        <v>7</v>
      </c>
      <c r="C11" s="1" t="s">
        <v>16</v>
      </c>
      <c r="D11" s="19" t="s">
        <v>17</v>
      </c>
    </row>
    <row r="12" spans="2:4" x14ac:dyDescent="0.3">
      <c r="B12" s="19">
        <v>8</v>
      </c>
      <c r="C12" s="1" t="s">
        <v>18</v>
      </c>
      <c r="D12" s="19" t="s">
        <v>19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2160-5A52-4310-B207-B5C9AF7F4E96}">
  <dimension ref="C1:L28"/>
  <sheetViews>
    <sheetView tabSelected="1" view="pageBreakPreview" topLeftCell="A9" zoomScale="86" zoomScaleSheetLayoutView="86" workbookViewId="0">
      <selection activeCell="E28" sqref="E28"/>
    </sheetView>
  </sheetViews>
  <sheetFormatPr defaultRowHeight="14.4" x14ac:dyDescent="0.3"/>
  <cols>
    <col min="3" max="3" width="13.6640625" customWidth="1"/>
    <col min="4" max="4" width="21.88671875" customWidth="1"/>
    <col min="5" max="5" width="18.6640625" customWidth="1"/>
    <col min="6" max="6" width="13.33203125" customWidth="1"/>
    <col min="11" max="11" width="22.33203125" customWidth="1"/>
    <col min="12" max="12" width="13.44140625" customWidth="1"/>
  </cols>
  <sheetData>
    <row r="1" spans="3:12" ht="15" thickBot="1" x14ac:dyDescent="0.35"/>
    <row r="2" spans="3:12" ht="14.4" customHeight="1" x14ac:dyDescent="0.3">
      <c r="C2" s="271"/>
      <c r="D2" s="520"/>
      <c r="E2" s="588" t="s">
        <v>29</v>
      </c>
    </row>
    <row r="3" spans="3:12" ht="15" thickBot="1" x14ac:dyDescent="0.35">
      <c r="C3" s="272" t="s">
        <v>1</v>
      </c>
      <c r="D3" s="539" t="s">
        <v>2</v>
      </c>
      <c r="E3" s="589"/>
    </row>
    <row r="4" spans="3:12" ht="34.200000000000003" customHeight="1" thickBot="1" x14ac:dyDescent="0.35">
      <c r="C4" s="229">
        <v>1</v>
      </c>
      <c r="D4" s="541" t="s">
        <v>420</v>
      </c>
      <c r="E4" s="540">
        <v>1025.74</v>
      </c>
      <c r="K4" t="s">
        <v>54</v>
      </c>
      <c r="L4">
        <f>'[25]31 Revenue'!$F$23/10^2</f>
        <v>967.63840992799999</v>
      </c>
    </row>
    <row r="5" spans="3:12" ht="56.4" customHeight="1" thickBot="1" x14ac:dyDescent="0.35">
      <c r="C5" s="229">
        <v>2</v>
      </c>
      <c r="D5" s="541" t="s">
        <v>421</v>
      </c>
      <c r="E5" s="540">
        <v>46.06</v>
      </c>
      <c r="K5" t="s">
        <v>422</v>
      </c>
      <c r="L5">
        <v>46.06</v>
      </c>
    </row>
    <row r="6" spans="3:12" ht="56.4" customHeight="1" thickBot="1" x14ac:dyDescent="0.35">
      <c r="C6" s="229">
        <v>3</v>
      </c>
      <c r="D6" s="541"/>
      <c r="E6" s="540">
        <f>E4-E5</f>
        <v>979.68000000000006</v>
      </c>
      <c r="K6" t="s">
        <v>423</v>
      </c>
      <c r="L6">
        <f>L4+L5</f>
        <v>1013.698409928</v>
      </c>
    </row>
    <row r="7" spans="3:12" ht="56.4" customHeight="1" thickBot="1" x14ac:dyDescent="0.35">
      <c r="C7" s="230">
        <v>4</v>
      </c>
      <c r="D7" s="541" t="s">
        <v>424</v>
      </c>
      <c r="E7" s="226">
        <f ca="1">'F1'!O27</f>
        <v>1056.7325877174444</v>
      </c>
      <c r="K7" t="s">
        <v>425</v>
      </c>
      <c r="L7">
        <f ca="1">'F1'!O27</f>
        <v>1056.7325877174444</v>
      </c>
    </row>
    <row r="8" spans="3:12" ht="56.4" customHeight="1" thickBot="1" x14ac:dyDescent="0.35">
      <c r="C8" s="230">
        <v>5</v>
      </c>
      <c r="D8" s="541" t="s">
        <v>426</v>
      </c>
      <c r="E8" s="226">
        <f ca="1">E7-E4</f>
        <v>30.992587717444394</v>
      </c>
    </row>
    <row r="12" spans="3:12" x14ac:dyDescent="0.3">
      <c r="C12" s="521" t="s">
        <v>427</v>
      </c>
      <c r="D12" s="521" t="s">
        <v>29</v>
      </c>
      <c r="E12" s="521" t="s">
        <v>419</v>
      </c>
      <c r="F12" s="521" t="s">
        <v>428</v>
      </c>
    </row>
    <row r="13" spans="3:12" x14ac:dyDescent="0.3">
      <c r="C13" s="522" t="s">
        <v>429</v>
      </c>
      <c r="D13" s="522">
        <v>0</v>
      </c>
      <c r="E13" s="523">
        <f ca="1">D18</f>
        <v>32.681683748045117</v>
      </c>
      <c r="F13" s="524">
        <f ca="1">E18</f>
        <v>36.243987276582033</v>
      </c>
    </row>
    <row r="14" spans="3:12" x14ac:dyDescent="0.3">
      <c r="C14" s="522" t="s">
        <v>430</v>
      </c>
      <c r="D14" s="523">
        <f ca="1">E8</f>
        <v>30.992587717444394</v>
      </c>
      <c r="E14" s="522"/>
      <c r="F14" s="524"/>
    </row>
    <row r="15" spans="3:12" x14ac:dyDescent="0.3">
      <c r="C15" s="522" t="s">
        <v>431</v>
      </c>
      <c r="D15" s="523">
        <f ca="1">D13+D14</f>
        <v>30.992587717444394</v>
      </c>
      <c r="E15" s="523">
        <f ca="1">E13+E14</f>
        <v>32.681683748045117</v>
      </c>
      <c r="F15" s="523">
        <f ca="1">F13+F14</f>
        <v>36.243987276582033</v>
      </c>
    </row>
    <row r="16" spans="3:12" x14ac:dyDescent="0.3">
      <c r="C16" s="522" t="s">
        <v>432</v>
      </c>
      <c r="D16" s="525">
        <v>0.109</v>
      </c>
      <c r="E16" s="525">
        <v>0.109</v>
      </c>
      <c r="F16" s="525">
        <v>0.109</v>
      </c>
    </row>
    <row r="17" spans="3:10" x14ac:dyDescent="0.3">
      <c r="C17" s="522" t="s">
        <v>74</v>
      </c>
      <c r="D17" s="523">
        <f ca="1">D16*D15/2</f>
        <v>1.6890960306007194</v>
      </c>
      <c r="E17" s="523">
        <f ca="1">E16*E15</f>
        <v>3.5623035285369178</v>
      </c>
      <c r="F17" s="524">
        <f ca="1">F16*F15/2</f>
        <v>1.9752973065737207</v>
      </c>
    </row>
    <row r="18" spans="3:10" x14ac:dyDescent="0.3">
      <c r="C18" s="522" t="s">
        <v>75</v>
      </c>
      <c r="D18" s="523">
        <f ca="1">D15+D17</f>
        <v>32.681683748045117</v>
      </c>
      <c r="E18" s="523">
        <f ca="1">E15+E17</f>
        <v>36.243987276582033</v>
      </c>
      <c r="F18" s="523">
        <f ca="1">F15+F17</f>
        <v>38.219284583155755</v>
      </c>
    </row>
    <row r="21" spans="3:10" ht="15" thickBot="1" x14ac:dyDescent="0.35"/>
    <row r="22" spans="3:10" ht="15" thickBot="1" x14ac:dyDescent="0.35">
      <c r="C22" s="526" t="s">
        <v>1</v>
      </c>
      <c r="D22" s="527" t="s">
        <v>2</v>
      </c>
      <c r="E22" s="528" t="s">
        <v>428</v>
      </c>
    </row>
    <row r="23" spans="3:10" ht="27" thickBot="1" x14ac:dyDescent="0.35">
      <c r="C23" s="529">
        <v>1</v>
      </c>
      <c r="D23" s="530" t="s">
        <v>433</v>
      </c>
      <c r="E23" s="531">
        <v>1155.6099999999999</v>
      </c>
      <c r="J23">
        <v>5057</v>
      </c>
    </row>
    <row r="24" spans="3:10" ht="15" thickBot="1" x14ac:dyDescent="0.35">
      <c r="C24" s="529">
        <v>2</v>
      </c>
      <c r="D24" s="532" t="s">
        <v>434</v>
      </c>
      <c r="E24" s="533">
        <f ca="1">F18</f>
        <v>38.219284583155755</v>
      </c>
    </row>
    <row r="25" spans="3:10" ht="27" thickBot="1" x14ac:dyDescent="0.35">
      <c r="C25" s="529">
        <v>3</v>
      </c>
      <c r="D25" s="534" t="s">
        <v>435</v>
      </c>
      <c r="E25" s="535">
        <f ca="1">E23+E24</f>
        <v>1193.8292845831556</v>
      </c>
    </row>
    <row r="26" spans="3:10" ht="27" thickBot="1" x14ac:dyDescent="0.35">
      <c r="C26" s="529">
        <v>4</v>
      </c>
      <c r="D26" s="532" t="s">
        <v>410</v>
      </c>
      <c r="E26" s="562">
        <v>5401</v>
      </c>
      <c r="F26" s="283" t="s">
        <v>436</v>
      </c>
    </row>
    <row r="27" spans="3:10" ht="40.200000000000003" thickBot="1" x14ac:dyDescent="0.35">
      <c r="C27" s="529">
        <v>5</v>
      </c>
      <c r="D27" s="532" t="s">
        <v>412</v>
      </c>
      <c r="E27" s="536">
        <f>E26*70%*365*24/10^3</f>
        <v>33118.932000000001</v>
      </c>
    </row>
    <row r="28" spans="3:10" ht="27" thickBot="1" x14ac:dyDescent="0.35">
      <c r="C28" s="537">
        <v>6</v>
      </c>
      <c r="D28" s="534" t="s">
        <v>413</v>
      </c>
      <c r="E28" s="538">
        <f ca="1">(E25/E27)*1000</f>
        <v>36.04673256321054</v>
      </c>
    </row>
  </sheetData>
  <mergeCells count="1">
    <mergeCell ref="E2:E3"/>
  </mergeCells>
  <hyperlinks>
    <hyperlink ref="F26" r:id="rId1" display="https://cea.nic.in/wp-content/uploads/power_supply/2022/09/psp_peak_092022.pdf" xr:uid="{44731B8D-F169-4C13-AD6F-F9CCE9FA7040}"/>
  </hyperlinks>
  <pageMargins left="0.7" right="0.7" top="0.75" bottom="0.75" header="0.3" footer="0.3"/>
  <pageSetup paperSize="9" scale="74" orientation="portrait" horizontalDpi="300" verticalDpi="300" r:id="rId2"/>
  <colBreaks count="1" manualBreakCount="1">
    <brk id="10" max="1048575" man="1"/>
  </col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C11"/>
  <sheetViews>
    <sheetView workbookViewId="0">
      <selection activeCell="J23" sqref="J23"/>
    </sheetView>
  </sheetViews>
  <sheetFormatPr defaultRowHeight="14.4" x14ac:dyDescent="0.3"/>
  <sheetData>
    <row r="4" spans="3:3" x14ac:dyDescent="0.3">
      <c r="C4" s="187" t="s">
        <v>437</v>
      </c>
    </row>
    <row r="5" spans="3:3" x14ac:dyDescent="0.3">
      <c r="C5" s="1" t="s">
        <v>438</v>
      </c>
    </row>
    <row r="6" spans="3:3" x14ac:dyDescent="0.3">
      <c r="C6" s="1" t="s">
        <v>439</v>
      </c>
    </row>
    <row r="7" spans="3:3" x14ac:dyDescent="0.3">
      <c r="C7" s="187" t="s">
        <v>440</v>
      </c>
    </row>
    <row r="8" spans="3:3" x14ac:dyDescent="0.3">
      <c r="C8" s="1" t="s">
        <v>441</v>
      </c>
    </row>
    <row r="9" spans="3:3" x14ac:dyDescent="0.3">
      <c r="C9" s="1" t="s">
        <v>442</v>
      </c>
    </row>
    <row r="10" spans="3:3" x14ac:dyDescent="0.3">
      <c r="C10" s="187" t="s">
        <v>443</v>
      </c>
    </row>
    <row r="11" spans="3:3" x14ac:dyDescent="0.3">
      <c r="C11" s="283" t="s">
        <v>444</v>
      </c>
    </row>
  </sheetData>
  <hyperlinks>
    <hyperlink ref="C11" r:id="rId1" xr:uid="{00000000-0004-0000-0900-000000000000}"/>
  </hyperlinks>
  <pageMargins left="0.7" right="0.7" top="0.75" bottom="0.75" header="0.3" footer="0.3"/>
  <pageSetup paperSize="9" orientation="portrait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D25"/>
  <sheetViews>
    <sheetView showGridLines="0" workbookViewId="0">
      <selection activeCell="M20" sqref="M20"/>
    </sheetView>
  </sheetViews>
  <sheetFormatPr defaultRowHeight="13.8" x14ac:dyDescent="0.3"/>
  <cols>
    <col min="1" max="1" width="3.6640625" style="1" customWidth="1"/>
    <col min="2" max="2" width="9.33203125" style="19"/>
    <col min="3" max="3" width="9.33203125" style="1"/>
    <col min="4" max="4" width="71.44140625" style="1" customWidth="1"/>
    <col min="5" max="254" width="9.33203125" style="1"/>
    <col min="255" max="255" width="3.6640625" style="1" customWidth="1"/>
    <col min="256" max="257" width="9.33203125" style="1"/>
    <col min="258" max="258" width="71.44140625" style="1" customWidth="1"/>
    <col min="259" max="510" width="9.33203125" style="1"/>
    <col min="511" max="511" width="3.6640625" style="1" customWidth="1"/>
    <col min="512" max="513" width="9.33203125" style="1"/>
    <col min="514" max="514" width="71.44140625" style="1" customWidth="1"/>
    <col min="515" max="766" width="9.33203125" style="1"/>
    <col min="767" max="767" width="3.6640625" style="1" customWidth="1"/>
    <col min="768" max="769" width="9.33203125" style="1"/>
    <col min="770" max="770" width="71.44140625" style="1" customWidth="1"/>
    <col min="771" max="1022" width="9.33203125" style="1"/>
    <col min="1023" max="1023" width="3.6640625" style="1" customWidth="1"/>
    <col min="1024" max="1025" width="9.33203125" style="1"/>
    <col min="1026" max="1026" width="71.44140625" style="1" customWidth="1"/>
    <col min="1027" max="1278" width="9.33203125" style="1"/>
    <col min="1279" max="1279" width="3.6640625" style="1" customWidth="1"/>
    <col min="1280" max="1281" width="9.33203125" style="1"/>
    <col min="1282" max="1282" width="71.44140625" style="1" customWidth="1"/>
    <col min="1283" max="1534" width="9.33203125" style="1"/>
    <col min="1535" max="1535" width="3.6640625" style="1" customWidth="1"/>
    <col min="1536" max="1537" width="9.33203125" style="1"/>
    <col min="1538" max="1538" width="71.44140625" style="1" customWidth="1"/>
    <col min="1539" max="1790" width="9.33203125" style="1"/>
    <col min="1791" max="1791" width="3.6640625" style="1" customWidth="1"/>
    <col min="1792" max="1793" width="9.33203125" style="1"/>
    <col min="1794" max="1794" width="71.44140625" style="1" customWidth="1"/>
    <col min="1795" max="2046" width="9.33203125" style="1"/>
    <col min="2047" max="2047" width="3.6640625" style="1" customWidth="1"/>
    <col min="2048" max="2049" width="9.33203125" style="1"/>
    <col min="2050" max="2050" width="71.44140625" style="1" customWidth="1"/>
    <col min="2051" max="2302" width="9.33203125" style="1"/>
    <col min="2303" max="2303" width="3.6640625" style="1" customWidth="1"/>
    <col min="2304" max="2305" width="9.33203125" style="1"/>
    <col min="2306" max="2306" width="71.44140625" style="1" customWidth="1"/>
    <col min="2307" max="2558" width="9.33203125" style="1"/>
    <col min="2559" max="2559" width="3.6640625" style="1" customWidth="1"/>
    <col min="2560" max="2561" width="9.33203125" style="1"/>
    <col min="2562" max="2562" width="71.44140625" style="1" customWidth="1"/>
    <col min="2563" max="2814" width="9.33203125" style="1"/>
    <col min="2815" max="2815" width="3.6640625" style="1" customWidth="1"/>
    <col min="2816" max="2817" width="9.33203125" style="1"/>
    <col min="2818" max="2818" width="71.44140625" style="1" customWidth="1"/>
    <col min="2819" max="3070" width="9.33203125" style="1"/>
    <col min="3071" max="3071" width="3.6640625" style="1" customWidth="1"/>
    <col min="3072" max="3073" width="9.33203125" style="1"/>
    <col min="3074" max="3074" width="71.44140625" style="1" customWidth="1"/>
    <col min="3075" max="3326" width="9.33203125" style="1"/>
    <col min="3327" max="3327" width="3.6640625" style="1" customWidth="1"/>
    <col min="3328" max="3329" width="9.33203125" style="1"/>
    <col min="3330" max="3330" width="71.44140625" style="1" customWidth="1"/>
    <col min="3331" max="3582" width="9.33203125" style="1"/>
    <col min="3583" max="3583" width="3.6640625" style="1" customWidth="1"/>
    <col min="3584" max="3585" width="9.33203125" style="1"/>
    <col min="3586" max="3586" width="71.44140625" style="1" customWidth="1"/>
    <col min="3587" max="3838" width="9.33203125" style="1"/>
    <col min="3839" max="3839" width="3.6640625" style="1" customWidth="1"/>
    <col min="3840" max="3841" width="9.33203125" style="1"/>
    <col min="3842" max="3842" width="71.44140625" style="1" customWidth="1"/>
    <col min="3843" max="4094" width="9.33203125" style="1"/>
    <col min="4095" max="4095" width="3.6640625" style="1" customWidth="1"/>
    <col min="4096" max="4097" width="9.33203125" style="1"/>
    <col min="4098" max="4098" width="71.44140625" style="1" customWidth="1"/>
    <col min="4099" max="4350" width="9.33203125" style="1"/>
    <col min="4351" max="4351" width="3.6640625" style="1" customWidth="1"/>
    <col min="4352" max="4353" width="9.33203125" style="1"/>
    <col min="4354" max="4354" width="71.44140625" style="1" customWidth="1"/>
    <col min="4355" max="4606" width="9.33203125" style="1"/>
    <col min="4607" max="4607" width="3.6640625" style="1" customWidth="1"/>
    <col min="4608" max="4609" width="9.33203125" style="1"/>
    <col min="4610" max="4610" width="71.44140625" style="1" customWidth="1"/>
    <col min="4611" max="4862" width="9.33203125" style="1"/>
    <col min="4863" max="4863" width="3.6640625" style="1" customWidth="1"/>
    <col min="4864" max="4865" width="9.33203125" style="1"/>
    <col min="4866" max="4866" width="71.44140625" style="1" customWidth="1"/>
    <col min="4867" max="5118" width="9.33203125" style="1"/>
    <col min="5119" max="5119" width="3.6640625" style="1" customWidth="1"/>
    <col min="5120" max="5121" width="9.33203125" style="1"/>
    <col min="5122" max="5122" width="71.44140625" style="1" customWidth="1"/>
    <col min="5123" max="5374" width="9.33203125" style="1"/>
    <col min="5375" max="5375" width="3.6640625" style="1" customWidth="1"/>
    <col min="5376" max="5377" width="9.33203125" style="1"/>
    <col min="5378" max="5378" width="71.44140625" style="1" customWidth="1"/>
    <col min="5379" max="5630" width="9.33203125" style="1"/>
    <col min="5631" max="5631" width="3.6640625" style="1" customWidth="1"/>
    <col min="5632" max="5633" width="9.33203125" style="1"/>
    <col min="5634" max="5634" width="71.44140625" style="1" customWidth="1"/>
    <col min="5635" max="5886" width="9.33203125" style="1"/>
    <col min="5887" max="5887" width="3.6640625" style="1" customWidth="1"/>
    <col min="5888" max="5889" width="9.33203125" style="1"/>
    <col min="5890" max="5890" width="71.44140625" style="1" customWidth="1"/>
    <col min="5891" max="6142" width="9.33203125" style="1"/>
    <col min="6143" max="6143" width="3.6640625" style="1" customWidth="1"/>
    <col min="6144" max="6145" width="9.33203125" style="1"/>
    <col min="6146" max="6146" width="71.44140625" style="1" customWidth="1"/>
    <col min="6147" max="6398" width="9.33203125" style="1"/>
    <col min="6399" max="6399" width="3.6640625" style="1" customWidth="1"/>
    <col min="6400" max="6401" width="9.33203125" style="1"/>
    <col min="6402" max="6402" width="71.44140625" style="1" customWidth="1"/>
    <col min="6403" max="6654" width="9.33203125" style="1"/>
    <col min="6655" max="6655" width="3.6640625" style="1" customWidth="1"/>
    <col min="6656" max="6657" width="9.33203125" style="1"/>
    <col min="6658" max="6658" width="71.44140625" style="1" customWidth="1"/>
    <col min="6659" max="6910" width="9.33203125" style="1"/>
    <col min="6911" max="6911" width="3.6640625" style="1" customWidth="1"/>
    <col min="6912" max="6913" width="9.33203125" style="1"/>
    <col min="6914" max="6914" width="71.44140625" style="1" customWidth="1"/>
    <col min="6915" max="7166" width="9.33203125" style="1"/>
    <col min="7167" max="7167" width="3.6640625" style="1" customWidth="1"/>
    <col min="7168" max="7169" width="9.33203125" style="1"/>
    <col min="7170" max="7170" width="71.44140625" style="1" customWidth="1"/>
    <col min="7171" max="7422" width="9.33203125" style="1"/>
    <col min="7423" max="7423" width="3.6640625" style="1" customWidth="1"/>
    <col min="7424" max="7425" width="9.33203125" style="1"/>
    <col min="7426" max="7426" width="71.44140625" style="1" customWidth="1"/>
    <col min="7427" max="7678" width="9.33203125" style="1"/>
    <col min="7679" max="7679" width="3.6640625" style="1" customWidth="1"/>
    <col min="7680" max="7681" width="9.33203125" style="1"/>
    <col min="7682" max="7682" width="71.44140625" style="1" customWidth="1"/>
    <col min="7683" max="7934" width="9.33203125" style="1"/>
    <col min="7935" max="7935" width="3.6640625" style="1" customWidth="1"/>
    <col min="7936" max="7937" width="9.33203125" style="1"/>
    <col min="7938" max="7938" width="71.44140625" style="1" customWidth="1"/>
    <col min="7939" max="8190" width="9.33203125" style="1"/>
    <col min="8191" max="8191" width="3.6640625" style="1" customWidth="1"/>
    <col min="8192" max="8193" width="9.33203125" style="1"/>
    <col min="8194" max="8194" width="71.44140625" style="1" customWidth="1"/>
    <col min="8195" max="8446" width="9.33203125" style="1"/>
    <col min="8447" max="8447" width="3.6640625" style="1" customWidth="1"/>
    <col min="8448" max="8449" width="9.33203125" style="1"/>
    <col min="8450" max="8450" width="71.44140625" style="1" customWidth="1"/>
    <col min="8451" max="8702" width="9.33203125" style="1"/>
    <col min="8703" max="8703" width="3.6640625" style="1" customWidth="1"/>
    <col min="8704" max="8705" width="9.33203125" style="1"/>
    <col min="8706" max="8706" width="71.44140625" style="1" customWidth="1"/>
    <col min="8707" max="8958" width="9.33203125" style="1"/>
    <col min="8959" max="8959" width="3.6640625" style="1" customWidth="1"/>
    <col min="8960" max="8961" width="9.33203125" style="1"/>
    <col min="8962" max="8962" width="71.44140625" style="1" customWidth="1"/>
    <col min="8963" max="9214" width="9.33203125" style="1"/>
    <col min="9215" max="9215" width="3.6640625" style="1" customWidth="1"/>
    <col min="9216" max="9217" width="9.33203125" style="1"/>
    <col min="9218" max="9218" width="71.44140625" style="1" customWidth="1"/>
    <col min="9219" max="9470" width="9.33203125" style="1"/>
    <col min="9471" max="9471" width="3.6640625" style="1" customWidth="1"/>
    <col min="9472" max="9473" width="9.33203125" style="1"/>
    <col min="9474" max="9474" width="71.44140625" style="1" customWidth="1"/>
    <col min="9475" max="9726" width="9.33203125" style="1"/>
    <col min="9727" max="9727" width="3.6640625" style="1" customWidth="1"/>
    <col min="9728" max="9729" width="9.33203125" style="1"/>
    <col min="9730" max="9730" width="71.44140625" style="1" customWidth="1"/>
    <col min="9731" max="9982" width="9.33203125" style="1"/>
    <col min="9983" max="9983" width="3.6640625" style="1" customWidth="1"/>
    <col min="9984" max="9985" width="9.33203125" style="1"/>
    <col min="9986" max="9986" width="71.44140625" style="1" customWidth="1"/>
    <col min="9987" max="10238" width="9.33203125" style="1"/>
    <col min="10239" max="10239" width="3.6640625" style="1" customWidth="1"/>
    <col min="10240" max="10241" width="9.33203125" style="1"/>
    <col min="10242" max="10242" width="71.44140625" style="1" customWidth="1"/>
    <col min="10243" max="10494" width="9.33203125" style="1"/>
    <col min="10495" max="10495" width="3.6640625" style="1" customWidth="1"/>
    <col min="10496" max="10497" width="9.33203125" style="1"/>
    <col min="10498" max="10498" width="71.44140625" style="1" customWidth="1"/>
    <col min="10499" max="10750" width="9.33203125" style="1"/>
    <col min="10751" max="10751" width="3.6640625" style="1" customWidth="1"/>
    <col min="10752" max="10753" width="9.33203125" style="1"/>
    <col min="10754" max="10754" width="71.44140625" style="1" customWidth="1"/>
    <col min="10755" max="11006" width="9.33203125" style="1"/>
    <col min="11007" max="11007" width="3.6640625" style="1" customWidth="1"/>
    <col min="11008" max="11009" width="9.33203125" style="1"/>
    <col min="11010" max="11010" width="71.44140625" style="1" customWidth="1"/>
    <col min="11011" max="11262" width="9.33203125" style="1"/>
    <col min="11263" max="11263" width="3.6640625" style="1" customWidth="1"/>
    <col min="11264" max="11265" width="9.33203125" style="1"/>
    <col min="11266" max="11266" width="71.44140625" style="1" customWidth="1"/>
    <col min="11267" max="11518" width="9.33203125" style="1"/>
    <col min="11519" max="11519" width="3.6640625" style="1" customWidth="1"/>
    <col min="11520" max="11521" width="9.33203125" style="1"/>
    <col min="11522" max="11522" width="71.44140625" style="1" customWidth="1"/>
    <col min="11523" max="11774" width="9.33203125" style="1"/>
    <col min="11775" max="11775" width="3.6640625" style="1" customWidth="1"/>
    <col min="11776" max="11777" width="9.33203125" style="1"/>
    <col min="11778" max="11778" width="71.44140625" style="1" customWidth="1"/>
    <col min="11779" max="12030" width="9.33203125" style="1"/>
    <col min="12031" max="12031" width="3.6640625" style="1" customWidth="1"/>
    <col min="12032" max="12033" width="9.33203125" style="1"/>
    <col min="12034" max="12034" width="71.44140625" style="1" customWidth="1"/>
    <col min="12035" max="12286" width="9.33203125" style="1"/>
    <col min="12287" max="12287" width="3.6640625" style="1" customWidth="1"/>
    <col min="12288" max="12289" width="9.33203125" style="1"/>
    <col min="12290" max="12290" width="71.44140625" style="1" customWidth="1"/>
    <col min="12291" max="12542" width="9.33203125" style="1"/>
    <col min="12543" max="12543" width="3.6640625" style="1" customWidth="1"/>
    <col min="12544" max="12545" width="9.33203125" style="1"/>
    <col min="12546" max="12546" width="71.44140625" style="1" customWidth="1"/>
    <col min="12547" max="12798" width="9.33203125" style="1"/>
    <col min="12799" max="12799" width="3.6640625" style="1" customWidth="1"/>
    <col min="12800" max="12801" width="9.33203125" style="1"/>
    <col min="12802" max="12802" width="71.44140625" style="1" customWidth="1"/>
    <col min="12803" max="13054" width="9.33203125" style="1"/>
    <col min="13055" max="13055" width="3.6640625" style="1" customWidth="1"/>
    <col min="13056" max="13057" width="9.33203125" style="1"/>
    <col min="13058" max="13058" width="71.44140625" style="1" customWidth="1"/>
    <col min="13059" max="13310" width="9.33203125" style="1"/>
    <col min="13311" max="13311" width="3.6640625" style="1" customWidth="1"/>
    <col min="13312" max="13313" width="9.33203125" style="1"/>
    <col min="13314" max="13314" width="71.44140625" style="1" customWidth="1"/>
    <col min="13315" max="13566" width="9.33203125" style="1"/>
    <col min="13567" max="13567" width="3.6640625" style="1" customWidth="1"/>
    <col min="13568" max="13569" width="9.33203125" style="1"/>
    <col min="13570" max="13570" width="71.44140625" style="1" customWidth="1"/>
    <col min="13571" max="13822" width="9.33203125" style="1"/>
    <col min="13823" max="13823" width="3.6640625" style="1" customWidth="1"/>
    <col min="13824" max="13825" width="9.33203125" style="1"/>
    <col min="13826" max="13826" width="71.44140625" style="1" customWidth="1"/>
    <col min="13827" max="14078" width="9.33203125" style="1"/>
    <col min="14079" max="14079" width="3.6640625" style="1" customWidth="1"/>
    <col min="14080" max="14081" width="9.33203125" style="1"/>
    <col min="14082" max="14082" width="71.44140625" style="1" customWidth="1"/>
    <col min="14083" max="14334" width="9.33203125" style="1"/>
    <col min="14335" max="14335" width="3.6640625" style="1" customWidth="1"/>
    <col min="14336" max="14337" width="9.33203125" style="1"/>
    <col min="14338" max="14338" width="71.44140625" style="1" customWidth="1"/>
    <col min="14339" max="14590" width="9.33203125" style="1"/>
    <col min="14591" max="14591" width="3.6640625" style="1" customWidth="1"/>
    <col min="14592" max="14593" width="9.33203125" style="1"/>
    <col min="14594" max="14594" width="71.44140625" style="1" customWidth="1"/>
    <col min="14595" max="14846" width="9.33203125" style="1"/>
    <col min="14847" max="14847" width="3.6640625" style="1" customWidth="1"/>
    <col min="14848" max="14849" width="9.33203125" style="1"/>
    <col min="14850" max="14850" width="71.44140625" style="1" customWidth="1"/>
    <col min="14851" max="15102" width="9.33203125" style="1"/>
    <col min="15103" max="15103" width="3.6640625" style="1" customWidth="1"/>
    <col min="15104" max="15105" width="9.33203125" style="1"/>
    <col min="15106" max="15106" width="71.44140625" style="1" customWidth="1"/>
    <col min="15107" max="15358" width="9.33203125" style="1"/>
    <col min="15359" max="15359" width="3.6640625" style="1" customWidth="1"/>
    <col min="15360" max="15361" width="9.33203125" style="1"/>
    <col min="15362" max="15362" width="71.44140625" style="1" customWidth="1"/>
    <col min="15363" max="15614" width="9.33203125" style="1"/>
    <col min="15615" max="15615" width="3.6640625" style="1" customWidth="1"/>
    <col min="15616" max="15617" width="9.33203125" style="1"/>
    <col min="15618" max="15618" width="71.44140625" style="1" customWidth="1"/>
    <col min="15619" max="15870" width="9.33203125" style="1"/>
    <col min="15871" max="15871" width="3.6640625" style="1" customWidth="1"/>
    <col min="15872" max="15873" width="9.33203125" style="1"/>
    <col min="15874" max="15874" width="71.44140625" style="1" customWidth="1"/>
    <col min="15875" max="16126" width="9.33203125" style="1"/>
    <col min="16127" max="16127" width="3.6640625" style="1" customWidth="1"/>
    <col min="16128" max="16129" width="9.33203125" style="1"/>
    <col min="16130" max="16130" width="71.44140625" style="1" customWidth="1"/>
    <col min="16131" max="16384" width="9.33203125" style="1"/>
  </cols>
  <sheetData>
    <row r="3" spans="2:4" ht="15" customHeight="1" x14ac:dyDescent="0.3">
      <c r="B3" s="610" t="s">
        <v>445</v>
      </c>
      <c r="C3" s="610"/>
      <c r="D3" s="610"/>
    </row>
    <row r="4" spans="2:4" ht="15" customHeight="1" x14ac:dyDescent="0.3">
      <c r="B4" s="611" t="s">
        <v>446</v>
      </c>
      <c r="C4" s="611"/>
      <c r="D4" s="611"/>
    </row>
    <row r="5" spans="2:4" x14ac:dyDescent="0.3">
      <c r="B5" s="71" t="s">
        <v>1</v>
      </c>
      <c r="C5" s="71" t="s">
        <v>447</v>
      </c>
      <c r="D5" s="71" t="s">
        <v>448</v>
      </c>
    </row>
    <row r="6" spans="2:4" ht="14.4" thickBot="1" x14ac:dyDescent="0.35">
      <c r="C6" s="19"/>
      <c r="D6" s="19"/>
    </row>
    <row r="7" spans="2:4" x14ac:dyDescent="0.3">
      <c r="B7" s="72">
        <v>1</v>
      </c>
      <c r="C7" s="73" t="s">
        <v>449</v>
      </c>
      <c r="D7" s="191" t="s">
        <v>450</v>
      </c>
    </row>
    <row r="8" spans="2:4" x14ac:dyDescent="0.3">
      <c r="B8" s="74">
        <v>2</v>
      </c>
      <c r="C8" s="1" t="s">
        <v>451</v>
      </c>
      <c r="D8" s="192" t="s">
        <v>452</v>
      </c>
    </row>
    <row r="9" spans="2:4" x14ac:dyDescent="0.3">
      <c r="B9" s="74">
        <v>3</v>
      </c>
      <c r="C9" s="1" t="s">
        <v>453</v>
      </c>
      <c r="D9" s="192" t="s">
        <v>454</v>
      </c>
    </row>
    <row r="10" spans="2:4" x14ac:dyDescent="0.3">
      <c r="B10" s="74"/>
      <c r="D10" s="192"/>
    </row>
    <row r="11" spans="2:4" x14ac:dyDescent="0.3">
      <c r="B11" s="74">
        <v>4</v>
      </c>
      <c r="C11" s="1" t="s">
        <v>455</v>
      </c>
      <c r="D11" s="192" t="s">
        <v>456</v>
      </c>
    </row>
    <row r="12" spans="2:4" x14ac:dyDescent="0.3">
      <c r="B12" s="74">
        <v>5</v>
      </c>
      <c r="C12" s="1" t="s">
        <v>457</v>
      </c>
      <c r="D12" s="192" t="s">
        <v>458</v>
      </c>
    </row>
    <row r="13" spans="2:4" x14ac:dyDescent="0.3">
      <c r="B13" s="74">
        <v>6</v>
      </c>
      <c r="C13" s="1" t="s">
        <v>459</v>
      </c>
      <c r="D13" s="192" t="s">
        <v>460</v>
      </c>
    </row>
    <row r="14" spans="2:4" x14ac:dyDescent="0.3">
      <c r="B14" s="74">
        <v>7</v>
      </c>
      <c r="C14" s="1" t="s">
        <v>461</v>
      </c>
      <c r="D14" s="192" t="s">
        <v>462</v>
      </c>
    </row>
    <row r="15" spans="2:4" x14ac:dyDescent="0.3">
      <c r="B15" s="74">
        <v>8</v>
      </c>
      <c r="C15" s="1" t="s">
        <v>463</v>
      </c>
      <c r="D15" s="192" t="s">
        <v>464</v>
      </c>
    </row>
    <row r="16" spans="2:4" x14ac:dyDescent="0.3">
      <c r="B16" s="74">
        <v>9</v>
      </c>
      <c r="C16" s="1" t="s">
        <v>465</v>
      </c>
      <c r="D16" s="192" t="s">
        <v>466</v>
      </c>
    </row>
    <row r="17" spans="2:4" x14ac:dyDescent="0.3">
      <c r="B17" s="74">
        <v>10</v>
      </c>
      <c r="C17" s="1" t="s">
        <v>467</v>
      </c>
      <c r="D17" s="192" t="s">
        <v>468</v>
      </c>
    </row>
    <row r="18" spans="2:4" x14ac:dyDescent="0.3">
      <c r="B18" s="74">
        <v>11</v>
      </c>
      <c r="C18" s="1" t="s">
        <v>469</v>
      </c>
      <c r="D18" s="192" t="s">
        <v>470</v>
      </c>
    </row>
    <row r="19" spans="2:4" x14ac:dyDescent="0.3">
      <c r="B19" s="74">
        <v>12</v>
      </c>
      <c r="C19" s="1" t="s">
        <v>471</v>
      </c>
      <c r="D19" s="192" t="s">
        <v>16</v>
      </c>
    </row>
    <row r="20" spans="2:4" x14ac:dyDescent="0.3">
      <c r="B20" s="74">
        <v>13</v>
      </c>
      <c r="C20" s="1" t="s">
        <v>472</v>
      </c>
      <c r="D20" s="192" t="s">
        <v>473</v>
      </c>
    </row>
    <row r="21" spans="2:4" x14ac:dyDescent="0.3">
      <c r="B21" s="74">
        <v>14</v>
      </c>
      <c r="C21" s="1" t="s">
        <v>474</v>
      </c>
      <c r="D21" s="192" t="s">
        <v>475</v>
      </c>
    </row>
    <row r="22" spans="2:4" x14ac:dyDescent="0.3">
      <c r="B22" s="74">
        <v>15</v>
      </c>
      <c r="C22" s="1" t="s">
        <v>476</v>
      </c>
      <c r="D22" s="192" t="s">
        <v>477</v>
      </c>
    </row>
    <row r="23" spans="2:4" x14ac:dyDescent="0.3">
      <c r="B23" s="74">
        <v>16</v>
      </c>
      <c r="C23" s="1" t="s">
        <v>478</v>
      </c>
      <c r="D23" s="192" t="s">
        <v>479</v>
      </c>
    </row>
    <row r="24" spans="2:4" x14ac:dyDescent="0.3">
      <c r="B24" s="74">
        <v>17</v>
      </c>
      <c r="C24" s="1" t="s">
        <v>480</v>
      </c>
      <c r="D24" s="192" t="s">
        <v>39</v>
      </c>
    </row>
    <row r="25" spans="2:4" ht="14.4" thickBot="1" x14ac:dyDescent="0.35">
      <c r="B25" s="75">
        <v>18</v>
      </c>
      <c r="C25" s="76" t="s">
        <v>481</v>
      </c>
      <c r="D25" s="193" t="s">
        <v>40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45"/>
  <sheetViews>
    <sheetView showGridLines="0" view="pageBreakPreview" zoomScale="90" zoomScaleNormal="100" zoomScaleSheetLayoutView="90" workbookViewId="0">
      <selection activeCell="H18" sqref="H18"/>
    </sheetView>
  </sheetViews>
  <sheetFormatPr defaultRowHeight="13.8" x14ac:dyDescent="0.3"/>
  <cols>
    <col min="1" max="1" width="3.44140625" style="77" customWidth="1"/>
    <col min="2" max="2" width="5.6640625" style="92" bestFit="1" customWidth="1"/>
    <col min="3" max="3" width="36" style="77" customWidth="1"/>
    <col min="4" max="4" width="12.33203125" style="77" bestFit="1" customWidth="1"/>
    <col min="5" max="251" width="9.33203125" style="77"/>
    <col min="252" max="252" width="3.44140625" style="77" customWidth="1"/>
    <col min="253" max="253" width="5.6640625" style="77" bestFit="1" customWidth="1"/>
    <col min="254" max="254" width="36" style="77" customWidth="1"/>
    <col min="255" max="258" width="0" style="77" hidden="1" customWidth="1"/>
    <col min="259" max="259" width="12.33203125" style="77" bestFit="1" customWidth="1"/>
    <col min="260" max="260" width="0" style="77" hidden="1" customWidth="1"/>
    <col min="261" max="507" width="9.33203125" style="77"/>
    <col min="508" max="508" width="3.44140625" style="77" customWidth="1"/>
    <col min="509" max="509" width="5.6640625" style="77" bestFit="1" customWidth="1"/>
    <col min="510" max="510" width="36" style="77" customWidth="1"/>
    <col min="511" max="514" width="0" style="77" hidden="1" customWidth="1"/>
    <col min="515" max="515" width="12.33203125" style="77" bestFit="1" customWidth="1"/>
    <col min="516" max="516" width="0" style="77" hidden="1" customWidth="1"/>
    <col min="517" max="763" width="9.33203125" style="77"/>
    <col min="764" max="764" width="3.44140625" style="77" customWidth="1"/>
    <col min="765" max="765" width="5.6640625" style="77" bestFit="1" customWidth="1"/>
    <col min="766" max="766" width="36" style="77" customWidth="1"/>
    <col min="767" max="770" width="0" style="77" hidden="1" customWidth="1"/>
    <col min="771" max="771" width="12.33203125" style="77" bestFit="1" customWidth="1"/>
    <col min="772" max="772" width="0" style="77" hidden="1" customWidth="1"/>
    <col min="773" max="1019" width="9.33203125" style="77"/>
    <col min="1020" max="1020" width="3.44140625" style="77" customWidth="1"/>
    <col min="1021" max="1021" width="5.6640625" style="77" bestFit="1" customWidth="1"/>
    <col min="1022" max="1022" width="36" style="77" customWidth="1"/>
    <col min="1023" max="1026" width="0" style="77" hidden="1" customWidth="1"/>
    <col min="1027" max="1027" width="12.33203125" style="77" bestFit="1" customWidth="1"/>
    <col min="1028" max="1028" width="0" style="77" hidden="1" customWidth="1"/>
    <col min="1029" max="1275" width="9.33203125" style="77"/>
    <col min="1276" max="1276" width="3.44140625" style="77" customWidth="1"/>
    <col min="1277" max="1277" width="5.6640625" style="77" bestFit="1" customWidth="1"/>
    <col min="1278" max="1278" width="36" style="77" customWidth="1"/>
    <col min="1279" max="1282" width="0" style="77" hidden="1" customWidth="1"/>
    <col min="1283" max="1283" width="12.33203125" style="77" bestFit="1" customWidth="1"/>
    <col min="1284" max="1284" width="0" style="77" hidden="1" customWidth="1"/>
    <col min="1285" max="1531" width="9.33203125" style="77"/>
    <col min="1532" max="1532" width="3.44140625" style="77" customWidth="1"/>
    <col min="1533" max="1533" width="5.6640625" style="77" bestFit="1" customWidth="1"/>
    <col min="1534" max="1534" width="36" style="77" customWidth="1"/>
    <col min="1535" max="1538" width="0" style="77" hidden="1" customWidth="1"/>
    <col min="1539" max="1539" width="12.33203125" style="77" bestFit="1" customWidth="1"/>
    <col min="1540" max="1540" width="0" style="77" hidden="1" customWidth="1"/>
    <col min="1541" max="1787" width="9.33203125" style="77"/>
    <col min="1788" max="1788" width="3.44140625" style="77" customWidth="1"/>
    <col min="1789" max="1789" width="5.6640625" style="77" bestFit="1" customWidth="1"/>
    <col min="1790" max="1790" width="36" style="77" customWidth="1"/>
    <col min="1791" max="1794" width="0" style="77" hidden="1" customWidth="1"/>
    <col min="1795" max="1795" width="12.33203125" style="77" bestFit="1" customWidth="1"/>
    <col min="1796" max="1796" width="0" style="77" hidden="1" customWidth="1"/>
    <col min="1797" max="2043" width="9.33203125" style="77"/>
    <col min="2044" max="2044" width="3.44140625" style="77" customWidth="1"/>
    <col min="2045" max="2045" width="5.6640625" style="77" bestFit="1" customWidth="1"/>
    <col min="2046" max="2046" width="36" style="77" customWidth="1"/>
    <col min="2047" max="2050" width="0" style="77" hidden="1" customWidth="1"/>
    <col min="2051" max="2051" width="12.33203125" style="77" bestFit="1" customWidth="1"/>
    <col min="2052" max="2052" width="0" style="77" hidden="1" customWidth="1"/>
    <col min="2053" max="2299" width="9.33203125" style="77"/>
    <col min="2300" max="2300" width="3.44140625" style="77" customWidth="1"/>
    <col min="2301" max="2301" width="5.6640625" style="77" bestFit="1" customWidth="1"/>
    <col min="2302" max="2302" width="36" style="77" customWidth="1"/>
    <col min="2303" max="2306" width="0" style="77" hidden="1" customWidth="1"/>
    <col min="2307" max="2307" width="12.33203125" style="77" bestFit="1" customWidth="1"/>
    <col min="2308" max="2308" width="0" style="77" hidden="1" customWidth="1"/>
    <col min="2309" max="2555" width="9.33203125" style="77"/>
    <col min="2556" max="2556" width="3.44140625" style="77" customWidth="1"/>
    <col min="2557" max="2557" width="5.6640625" style="77" bestFit="1" customWidth="1"/>
    <col min="2558" max="2558" width="36" style="77" customWidth="1"/>
    <col min="2559" max="2562" width="0" style="77" hidden="1" customWidth="1"/>
    <col min="2563" max="2563" width="12.33203125" style="77" bestFit="1" customWidth="1"/>
    <col min="2564" max="2564" width="0" style="77" hidden="1" customWidth="1"/>
    <col min="2565" max="2811" width="9.33203125" style="77"/>
    <col min="2812" max="2812" width="3.44140625" style="77" customWidth="1"/>
    <col min="2813" max="2813" width="5.6640625" style="77" bestFit="1" customWidth="1"/>
    <col min="2814" max="2814" width="36" style="77" customWidth="1"/>
    <col min="2815" max="2818" width="0" style="77" hidden="1" customWidth="1"/>
    <col min="2819" max="2819" width="12.33203125" style="77" bestFit="1" customWidth="1"/>
    <col min="2820" max="2820" width="0" style="77" hidden="1" customWidth="1"/>
    <col min="2821" max="3067" width="9.33203125" style="77"/>
    <col min="3068" max="3068" width="3.44140625" style="77" customWidth="1"/>
    <col min="3069" max="3069" width="5.6640625" style="77" bestFit="1" customWidth="1"/>
    <col min="3070" max="3070" width="36" style="77" customWidth="1"/>
    <col min="3071" max="3074" width="0" style="77" hidden="1" customWidth="1"/>
    <col min="3075" max="3075" width="12.33203125" style="77" bestFit="1" customWidth="1"/>
    <col min="3076" max="3076" width="0" style="77" hidden="1" customWidth="1"/>
    <col min="3077" max="3323" width="9.33203125" style="77"/>
    <col min="3324" max="3324" width="3.44140625" style="77" customWidth="1"/>
    <col min="3325" max="3325" width="5.6640625" style="77" bestFit="1" customWidth="1"/>
    <col min="3326" max="3326" width="36" style="77" customWidth="1"/>
    <col min="3327" max="3330" width="0" style="77" hidden="1" customWidth="1"/>
    <col min="3331" max="3331" width="12.33203125" style="77" bestFit="1" customWidth="1"/>
    <col min="3332" max="3332" width="0" style="77" hidden="1" customWidth="1"/>
    <col min="3333" max="3579" width="9.33203125" style="77"/>
    <col min="3580" max="3580" width="3.44140625" style="77" customWidth="1"/>
    <col min="3581" max="3581" width="5.6640625" style="77" bestFit="1" customWidth="1"/>
    <col min="3582" max="3582" width="36" style="77" customWidth="1"/>
    <col min="3583" max="3586" width="0" style="77" hidden="1" customWidth="1"/>
    <col min="3587" max="3587" width="12.33203125" style="77" bestFit="1" customWidth="1"/>
    <col min="3588" max="3588" width="0" style="77" hidden="1" customWidth="1"/>
    <col min="3589" max="3835" width="9.33203125" style="77"/>
    <col min="3836" max="3836" width="3.44140625" style="77" customWidth="1"/>
    <col min="3837" max="3837" width="5.6640625" style="77" bestFit="1" customWidth="1"/>
    <col min="3838" max="3838" width="36" style="77" customWidth="1"/>
    <col min="3839" max="3842" width="0" style="77" hidden="1" customWidth="1"/>
    <col min="3843" max="3843" width="12.33203125" style="77" bestFit="1" customWidth="1"/>
    <col min="3844" max="3844" width="0" style="77" hidden="1" customWidth="1"/>
    <col min="3845" max="4091" width="9.33203125" style="77"/>
    <col min="4092" max="4092" width="3.44140625" style="77" customWidth="1"/>
    <col min="4093" max="4093" width="5.6640625" style="77" bestFit="1" customWidth="1"/>
    <col min="4094" max="4094" width="36" style="77" customWidth="1"/>
    <col min="4095" max="4098" width="0" style="77" hidden="1" customWidth="1"/>
    <col min="4099" max="4099" width="12.33203125" style="77" bestFit="1" customWidth="1"/>
    <col min="4100" max="4100" width="0" style="77" hidden="1" customWidth="1"/>
    <col min="4101" max="4347" width="9.33203125" style="77"/>
    <col min="4348" max="4348" width="3.44140625" style="77" customWidth="1"/>
    <col min="4349" max="4349" width="5.6640625" style="77" bestFit="1" customWidth="1"/>
    <col min="4350" max="4350" width="36" style="77" customWidth="1"/>
    <col min="4351" max="4354" width="0" style="77" hidden="1" customWidth="1"/>
    <col min="4355" max="4355" width="12.33203125" style="77" bestFit="1" customWidth="1"/>
    <col min="4356" max="4356" width="0" style="77" hidden="1" customWidth="1"/>
    <col min="4357" max="4603" width="9.33203125" style="77"/>
    <col min="4604" max="4604" width="3.44140625" style="77" customWidth="1"/>
    <col min="4605" max="4605" width="5.6640625" style="77" bestFit="1" customWidth="1"/>
    <col min="4606" max="4606" width="36" style="77" customWidth="1"/>
    <col min="4607" max="4610" width="0" style="77" hidden="1" customWidth="1"/>
    <col min="4611" max="4611" width="12.33203125" style="77" bestFit="1" customWidth="1"/>
    <col min="4612" max="4612" width="0" style="77" hidden="1" customWidth="1"/>
    <col min="4613" max="4859" width="9.33203125" style="77"/>
    <col min="4860" max="4860" width="3.44140625" style="77" customWidth="1"/>
    <col min="4861" max="4861" width="5.6640625" style="77" bestFit="1" customWidth="1"/>
    <col min="4862" max="4862" width="36" style="77" customWidth="1"/>
    <col min="4863" max="4866" width="0" style="77" hidden="1" customWidth="1"/>
    <col min="4867" max="4867" width="12.33203125" style="77" bestFit="1" customWidth="1"/>
    <col min="4868" max="4868" width="0" style="77" hidden="1" customWidth="1"/>
    <col min="4869" max="5115" width="9.33203125" style="77"/>
    <col min="5116" max="5116" width="3.44140625" style="77" customWidth="1"/>
    <col min="5117" max="5117" width="5.6640625" style="77" bestFit="1" customWidth="1"/>
    <col min="5118" max="5118" width="36" style="77" customWidth="1"/>
    <col min="5119" max="5122" width="0" style="77" hidden="1" customWidth="1"/>
    <col min="5123" max="5123" width="12.33203125" style="77" bestFit="1" customWidth="1"/>
    <col min="5124" max="5124" width="0" style="77" hidden="1" customWidth="1"/>
    <col min="5125" max="5371" width="9.33203125" style="77"/>
    <col min="5372" max="5372" width="3.44140625" style="77" customWidth="1"/>
    <col min="5373" max="5373" width="5.6640625" style="77" bestFit="1" customWidth="1"/>
    <col min="5374" max="5374" width="36" style="77" customWidth="1"/>
    <col min="5375" max="5378" width="0" style="77" hidden="1" customWidth="1"/>
    <col min="5379" max="5379" width="12.33203125" style="77" bestFit="1" customWidth="1"/>
    <col min="5380" max="5380" width="0" style="77" hidden="1" customWidth="1"/>
    <col min="5381" max="5627" width="9.33203125" style="77"/>
    <col min="5628" max="5628" width="3.44140625" style="77" customWidth="1"/>
    <col min="5629" max="5629" width="5.6640625" style="77" bestFit="1" customWidth="1"/>
    <col min="5630" max="5630" width="36" style="77" customWidth="1"/>
    <col min="5631" max="5634" width="0" style="77" hidden="1" customWidth="1"/>
    <col min="5635" max="5635" width="12.33203125" style="77" bestFit="1" customWidth="1"/>
    <col min="5636" max="5636" width="0" style="77" hidden="1" customWidth="1"/>
    <col min="5637" max="5883" width="9.33203125" style="77"/>
    <col min="5884" max="5884" width="3.44140625" style="77" customWidth="1"/>
    <col min="5885" max="5885" width="5.6640625" style="77" bestFit="1" customWidth="1"/>
    <col min="5886" max="5886" width="36" style="77" customWidth="1"/>
    <col min="5887" max="5890" width="0" style="77" hidden="1" customWidth="1"/>
    <col min="5891" max="5891" width="12.33203125" style="77" bestFit="1" customWidth="1"/>
    <col min="5892" max="5892" width="0" style="77" hidden="1" customWidth="1"/>
    <col min="5893" max="6139" width="9.33203125" style="77"/>
    <col min="6140" max="6140" width="3.44140625" style="77" customWidth="1"/>
    <col min="6141" max="6141" width="5.6640625" style="77" bestFit="1" customWidth="1"/>
    <col min="6142" max="6142" width="36" style="77" customWidth="1"/>
    <col min="6143" max="6146" width="0" style="77" hidden="1" customWidth="1"/>
    <col min="6147" max="6147" width="12.33203125" style="77" bestFit="1" customWidth="1"/>
    <col min="6148" max="6148" width="0" style="77" hidden="1" customWidth="1"/>
    <col min="6149" max="6395" width="9.33203125" style="77"/>
    <col min="6396" max="6396" width="3.44140625" style="77" customWidth="1"/>
    <col min="6397" max="6397" width="5.6640625" style="77" bestFit="1" customWidth="1"/>
    <col min="6398" max="6398" width="36" style="77" customWidth="1"/>
    <col min="6399" max="6402" width="0" style="77" hidden="1" customWidth="1"/>
    <col min="6403" max="6403" width="12.33203125" style="77" bestFit="1" customWidth="1"/>
    <col min="6404" max="6404" width="0" style="77" hidden="1" customWidth="1"/>
    <col min="6405" max="6651" width="9.33203125" style="77"/>
    <col min="6652" max="6652" width="3.44140625" style="77" customWidth="1"/>
    <col min="6653" max="6653" width="5.6640625" style="77" bestFit="1" customWidth="1"/>
    <col min="6654" max="6654" width="36" style="77" customWidth="1"/>
    <col min="6655" max="6658" width="0" style="77" hidden="1" customWidth="1"/>
    <col min="6659" max="6659" width="12.33203125" style="77" bestFit="1" customWidth="1"/>
    <col min="6660" max="6660" width="0" style="77" hidden="1" customWidth="1"/>
    <col min="6661" max="6907" width="9.33203125" style="77"/>
    <col min="6908" max="6908" width="3.44140625" style="77" customWidth="1"/>
    <col min="6909" max="6909" width="5.6640625" style="77" bestFit="1" customWidth="1"/>
    <col min="6910" max="6910" width="36" style="77" customWidth="1"/>
    <col min="6911" max="6914" width="0" style="77" hidden="1" customWidth="1"/>
    <col min="6915" max="6915" width="12.33203125" style="77" bestFit="1" customWidth="1"/>
    <col min="6916" max="6916" width="0" style="77" hidden="1" customWidth="1"/>
    <col min="6917" max="7163" width="9.33203125" style="77"/>
    <col min="7164" max="7164" width="3.44140625" style="77" customWidth="1"/>
    <col min="7165" max="7165" width="5.6640625" style="77" bestFit="1" customWidth="1"/>
    <col min="7166" max="7166" width="36" style="77" customWidth="1"/>
    <col min="7167" max="7170" width="0" style="77" hidden="1" customWidth="1"/>
    <col min="7171" max="7171" width="12.33203125" style="77" bestFit="1" customWidth="1"/>
    <col min="7172" max="7172" width="0" style="77" hidden="1" customWidth="1"/>
    <col min="7173" max="7419" width="9.33203125" style="77"/>
    <col min="7420" max="7420" width="3.44140625" style="77" customWidth="1"/>
    <col min="7421" max="7421" width="5.6640625" style="77" bestFit="1" customWidth="1"/>
    <col min="7422" max="7422" width="36" style="77" customWidth="1"/>
    <col min="7423" max="7426" width="0" style="77" hidden="1" customWidth="1"/>
    <col min="7427" max="7427" width="12.33203125" style="77" bestFit="1" customWidth="1"/>
    <col min="7428" max="7428" width="0" style="77" hidden="1" customWidth="1"/>
    <col min="7429" max="7675" width="9.33203125" style="77"/>
    <col min="7676" max="7676" width="3.44140625" style="77" customWidth="1"/>
    <col min="7677" max="7677" width="5.6640625" style="77" bestFit="1" customWidth="1"/>
    <col min="7678" max="7678" width="36" style="77" customWidth="1"/>
    <col min="7679" max="7682" width="0" style="77" hidden="1" customWidth="1"/>
    <col min="7683" max="7683" width="12.33203125" style="77" bestFit="1" customWidth="1"/>
    <col min="7684" max="7684" width="0" style="77" hidden="1" customWidth="1"/>
    <col min="7685" max="7931" width="9.33203125" style="77"/>
    <col min="7932" max="7932" width="3.44140625" style="77" customWidth="1"/>
    <col min="7933" max="7933" width="5.6640625" style="77" bestFit="1" customWidth="1"/>
    <col min="7934" max="7934" width="36" style="77" customWidth="1"/>
    <col min="7935" max="7938" width="0" style="77" hidden="1" customWidth="1"/>
    <col min="7939" max="7939" width="12.33203125" style="77" bestFit="1" customWidth="1"/>
    <col min="7940" max="7940" width="0" style="77" hidden="1" customWidth="1"/>
    <col min="7941" max="8187" width="9.33203125" style="77"/>
    <col min="8188" max="8188" width="3.44140625" style="77" customWidth="1"/>
    <col min="8189" max="8189" width="5.6640625" style="77" bestFit="1" customWidth="1"/>
    <col min="8190" max="8190" width="36" style="77" customWidth="1"/>
    <col min="8191" max="8194" width="0" style="77" hidden="1" customWidth="1"/>
    <col min="8195" max="8195" width="12.33203125" style="77" bestFit="1" customWidth="1"/>
    <col min="8196" max="8196" width="0" style="77" hidden="1" customWidth="1"/>
    <col min="8197" max="8443" width="9.33203125" style="77"/>
    <col min="8444" max="8444" width="3.44140625" style="77" customWidth="1"/>
    <col min="8445" max="8445" width="5.6640625" style="77" bestFit="1" customWidth="1"/>
    <col min="8446" max="8446" width="36" style="77" customWidth="1"/>
    <col min="8447" max="8450" width="0" style="77" hidden="1" customWidth="1"/>
    <col min="8451" max="8451" width="12.33203125" style="77" bestFit="1" customWidth="1"/>
    <col min="8452" max="8452" width="0" style="77" hidden="1" customWidth="1"/>
    <col min="8453" max="8699" width="9.33203125" style="77"/>
    <col min="8700" max="8700" width="3.44140625" style="77" customWidth="1"/>
    <col min="8701" max="8701" width="5.6640625" style="77" bestFit="1" customWidth="1"/>
    <col min="8702" max="8702" width="36" style="77" customWidth="1"/>
    <col min="8703" max="8706" width="0" style="77" hidden="1" customWidth="1"/>
    <col min="8707" max="8707" width="12.33203125" style="77" bestFit="1" customWidth="1"/>
    <col min="8708" max="8708" width="0" style="77" hidden="1" customWidth="1"/>
    <col min="8709" max="8955" width="9.33203125" style="77"/>
    <col min="8956" max="8956" width="3.44140625" style="77" customWidth="1"/>
    <col min="8957" max="8957" width="5.6640625" style="77" bestFit="1" customWidth="1"/>
    <col min="8958" max="8958" width="36" style="77" customWidth="1"/>
    <col min="8959" max="8962" width="0" style="77" hidden="1" customWidth="1"/>
    <col min="8963" max="8963" width="12.33203125" style="77" bestFit="1" customWidth="1"/>
    <col min="8964" max="8964" width="0" style="77" hidden="1" customWidth="1"/>
    <col min="8965" max="9211" width="9.33203125" style="77"/>
    <col min="9212" max="9212" width="3.44140625" style="77" customWidth="1"/>
    <col min="9213" max="9213" width="5.6640625" style="77" bestFit="1" customWidth="1"/>
    <col min="9214" max="9214" width="36" style="77" customWidth="1"/>
    <col min="9215" max="9218" width="0" style="77" hidden="1" customWidth="1"/>
    <col min="9219" max="9219" width="12.33203125" style="77" bestFit="1" customWidth="1"/>
    <col min="9220" max="9220" width="0" style="77" hidden="1" customWidth="1"/>
    <col min="9221" max="9467" width="9.33203125" style="77"/>
    <col min="9468" max="9468" width="3.44140625" style="77" customWidth="1"/>
    <col min="9469" max="9469" width="5.6640625" style="77" bestFit="1" customWidth="1"/>
    <col min="9470" max="9470" width="36" style="77" customWidth="1"/>
    <col min="9471" max="9474" width="0" style="77" hidden="1" customWidth="1"/>
    <col min="9475" max="9475" width="12.33203125" style="77" bestFit="1" customWidth="1"/>
    <col min="9476" max="9476" width="0" style="77" hidden="1" customWidth="1"/>
    <col min="9477" max="9723" width="9.33203125" style="77"/>
    <col min="9724" max="9724" width="3.44140625" style="77" customWidth="1"/>
    <col min="9725" max="9725" width="5.6640625" style="77" bestFit="1" customWidth="1"/>
    <col min="9726" max="9726" width="36" style="77" customWidth="1"/>
    <col min="9727" max="9730" width="0" style="77" hidden="1" customWidth="1"/>
    <col min="9731" max="9731" width="12.33203125" style="77" bestFit="1" customWidth="1"/>
    <col min="9732" max="9732" width="0" style="77" hidden="1" customWidth="1"/>
    <col min="9733" max="9979" width="9.33203125" style="77"/>
    <col min="9980" max="9980" width="3.44140625" style="77" customWidth="1"/>
    <col min="9981" max="9981" width="5.6640625" style="77" bestFit="1" customWidth="1"/>
    <col min="9982" max="9982" width="36" style="77" customWidth="1"/>
    <col min="9983" max="9986" width="0" style="77" hidden="1" customWidth="1"/>
    <col min="9987" max="9987" width="12.33203125" style="77" bestFit="1" customWidth="1"/>
    <col min="9988" max="9988" width="0" style="77" hidden="1" customWidth="1"/>
    <col min="9989" max="10235" width="9.33203125" style="77"/>
    <col min="10236" max="10236" width="3.44140625" style="77" customWidth="1"/>
    <col min="10237" max="10237" width="5.6640625" style="77" bestFit="1" customWidth="1"/>
    <col min="10238" max="10238" width="36" style="77" customWidth="1"/>
    <col min="10239" max="10242" width="0" style="77" hidden="1" customWidth="1"/>
    <col min="10243" max="10243" width="12.33203125" style="77" bestFit="1" customWidth="1"/>
    <col min="10244" max="10244" width="0" style="77" hidden="1" customWidth="1"/>
    <col min="10245" max="10491" width="9.33203125" style="77"/>
    <col min="10492" max="10492" width="3.44140625" style="77" customWidth="1"/>
    <col min="10493" max="10493" width="5.6640625" style="77" bestFit="1" customWidth="1"/>
    <col min="10494" max="10494" width="36" style="77" customWidth="1"/>
    <col min="10495" max="10498" width="0" style="77" hidden="1" customWidth="1"/>
    <col min="10499" max="10499" width="12.33203125" style="77" bestFit="1" customWidth="1"/>
    <col min="10500" max="10500" width="0" style="77" hidden="1" customWidth="1"/>
    <col min="10501" max="10747" width="9.33203125" style="77"/>
    <col min="10748" max="10748" width="3.44140625" style="77" customWidth="1"/>
    <col min="10749" max="10749" width="5.6640625" style="77" bestFit="1" customWidth="1"/>
    <col min="10750" max="10750" width="36" style="77" customWidth="1"/>
    <col min="10751" max="10754" width="0" style="77" hidden="1" customWidth="1"/>
    <col min="10755" max="10755" width="12.33203125" style="77" bestFit="1" customWidth="1"/>
    <col min="10756" max="10756" width="0" style="77" hidden="1" customWidth="1"/>
    <col min="10757" max="11003" width="9.33203125" style="77"/>
    <col min="11004" max="11004" width="3.44140625" style="77" customWidth="1"/>
    <col min="11005" max="11005" width="5.6640625" style="77" bestFit="1" customWidth="1"/>
    <col min="11006" max="11006" width="36" style="77" customWidth="1"/>
    <col min="11007" max="11010" width="0" style="77" hidden="1" customWidth="1"/>
    <col min="11011" max="11011" width="12.33203125" style="77" bestFit="1" customWidth="1"/>
    <col min="11012" max="11012" width="0" style="77" hidden="1" customWidth="1"/>
    <col min="11013" max="11259" width="9.33203125" style="77"/>
    <col min="11260" max="11260" width="3.44140625" style="77" customWidth="1"/>
    <col min="11261" max="11261" width="5.6640625" style="77" bestFit="1" customWidth="1"/>
    <col min="11262" max="11262" width="36" style="77" customWidth="1"/>
    <col min="11263" max="11266" width="0" style="77" hidden="1" customWidth="1"/>
    <col min="11267" max="11267" width="12.33203125" style="77" bestFit="1" customWidth="1"/>
    <col min="11268" max="11268" width="0" style="77" hidden="1" customWidth="1"/>
    <col min="11269" max="11515" width="9.33203125" style="77"/>
    <col min="11516" max="11516" width="3.44140625" style="77" customWidth="1"/>
    <col min="11517" max="11517" width="5.6640625" style="77" bestFit="1" customWidth="1"/>
    <col min="11518" max="11518" width="36" style="77" customWidth="1"/>
    <col min="11519" max="11522" width="0" style="77" hidden="1" customWidth="1"/>
    <col min="11523" max="11523" width="12.33203125" style="77" bestFit="1" customWidth="1"/>
    <col min="11524" max="11524" width="0" style="77" hidden="1" customWidth="1"/>
    <col min="11525" max="11771" width="9.33203125" style="77"/>
    <col min="11772" max="11772" width="3.44140625" style="77" customWidth="1"/>
    <col min="11773" max="11773" width="5.6640625" style="77" bestFit="1" customWidth="1"/>
    <col min="11774" max="11774" width="36" style="77" customWidth="1"/>
    <col min="11775" max="11778" width="0" style="77" hidden="1" customWidth="1"/>
    <col min="11779" max="11779" width="12.33203125" style="77" bestFit="1" customWidth="1"/>
    <col min="11780" max="11780" width="0" style="77" hidden="1" customWidth="1"/>
    <col min="11781" max="12027" width="9.33203125" style="77"/>
    <col min="12028" max="12028" width="3.44140625" style="77" customWidth="1"/>
    <col min="12029" max="12029" width="5.6640625" style="77" bestFit="1" customWidth="1"/>
    <col min="12030" max="12030" width="36" style="77" customWidth="1"/>
    <col min="12031" max="12034" width="0" style="77" hidden="1" customWidth="1"/>
    <col min="12035" max="12035" width="12.33203125" style="77" bestFit="1" customWidth="1"/>
    <col min="12036" max="12036" width="0" style="77" hidden="1" customWidth="1"/>
    <col min="12037" max="12283" width="9.33203125" style="77"/>
    <col min="12284" max="12284" width="3.44140625" style="77" customWidth="1"/>
    <col min="12285" max="12285" width="5.6640625" style="77" bestFit="1" customWidth="1"/>
    <col min="12286" max="12286" width="36" style="77" customWidth="1"/>
    <col min="12287" max="12290" width="0" style="77" hidden="1" customWidth="1"/>
    <col min="12291" max="12291" width="12.33203125" style="77" bestFit="1" customWidth="1"/>
    <col min="12292" max="12292" width="0" style="77" hidden="1" customWidth="1"/>
    <col min="12293" max="12539" width="9.33203125" style="77"/>
    <col min="12540" max="12540" width="3.44140625" style="77" customWidth="1"/>
    <col min="12541" max="12541" width="5.6640625" style="77" bestFit="1" customWidth="1"/>
    <col min="12542" max="12542" width="36" style="77" customWidth="1"/>
    <col min="12543" max="12546" width="0" style="77" hidden="1" customWidth="1"/>
    <col min="12547" max="12547" width="12.33203125" style="77" bestFit="1" customWidth="1"/>
    <col min="12548" max="12548" width="0" style="77" hidden="1" customWidth="1"/>
    <col min="12549" max="12795" width="9.33203125" style="77"/>
    <col min="12796" max="12796" width="3.44140625" style="77" customWidth="1"/>
    <col min="12797" max="12797" width="5.6640625" style="77" bestFit="1" customWidth="1"/>
    <col min="12798" max="12798" width="36" style="77" customWidth="1"/>
    <col min="12799" max="12802" width="0" style="77" hidden="1" customWidth="1"/>
    <col min="12803" max="12803" width="12.33203125" style="77" bestFit="1" customWidth="1"/>
    <col min="12804" max="12804" width="0" style="77" hidden="1" customWidth="1"/>
    <col min="12805" max="13051" width="9.33203125" style="77"/>
    <col min="13052" max="13052" width="3.44140625" style="77" customWidth="1"/>
    <col min="13053" max="13053" width="5.6640625" style="77" bestFit="1" customWidth="1"/>
    <col min="13054" max="13054" width="36" style="77" customWidth="1"/>
    <col min="13055" max="13058" width="0" style="77" hidden="1" customWidth="1"/>
    <col min="13059" max="13059" width="12.33203125" style="77" bestFit="1" customWidth="1"/>
    <col min="13060" max="13060" width="0" style="77" hidden="1" customWidth="1"/>
    <col min="13061" max="13307" width="9.33203125" style="77"/>
    <col min="13308" max="13308" width="3.44140625" style="77" customWidth="1"/>
    <col min="13309" max="13309" width="5.6640625" style="77" bestFit="1" customWidth="1"/>
    <col min="13310" max="13310" width="36" style="77" customWidth="1"/>
    <col min="13311" max="13314" width="0" style="77" hidden="1" customWidth="1"/>
    <col min="13315" max="13315" width="12.33203125" style="77" bestFit="1" customWidth="1"/>
    <col min="13316" max="13316" width="0" style="77" hidden="1" customWidth="1"/>
    <col min="13317" max="13563" width="9.33203125" style="77"/>
    <col min="13564" max="13564" width="3.44140625" style="77" customWidth="1"/>
    <col min="13565" max="13565" width="5.6640625" style="77" bestFit="1" customWidth="1"/>
    <col min="13566" max="13566" width="36" style="77" customWidth="1"/>
    <col min="13567" max="13570" width="0" style="77" hidden="1" customWidth="1"/>
    <col min="13571" max="13571" width="12.33203125" style="77" bestFit="1" customWidth="1"/>
    <col min="13572" max="13572" width="0" style="77" hidden="1" customWidth="1"/>
    <col min="13573" max="13819" width="9.33203125" style="77"/>
    <col min="13820" max="13820" width="3.44140625" style="77" customWidth="1"/>
    <col min="13821" max="13821" width="5.6640625" style="77" bestFit="1" customWidth="1"/>
    <col min="13822" max="13822" width="36" style="77" customWidth="1"/>
    <col min="13823" max="13826" width="0" style="77" hidden="1" customWidth="1"/>
    <col min="13827" max="13827" width="12.33203125" style="77" bestFit="1" customWidth="1"/>
    <col min="13828" max="13828" width="0" style="77" hidden="1" customWidth="1"/>
    <col min="13829" max="14075" width="9.33203125" style="77"/>
    <col min="14076" max="14076" width="3.44140625" style="77" customWidth="1"/>
    <col min="14077" max="14077" width="5.6640625" style="77" bestFit="1" customWidth="1"/>
    <col min="14078" max="14078" width="36" style="77" customWidth="1"/>
    <col min="14079" max="14082" width="0" style="77" hidden="1" customWidth="1"/>
    <col min="14083" max="14083" width="12.33203125" style="77" bestFit="1" customWidth="1"/>
    <col min="14084" max="14084" width="0" style="77" hidden="1" customWidth="1"/>
    <col min="14085" max="14331" width="9.33203125" style="77"/>
    <col min="14332" max="14332" width="3.44140625" style="77" customWidth="1"/>
    <col min="14333" max="14333" width="5.6640625" style="77" bestFit="1" customWidth="1"/>
    <col min="14334" max="14334" width="36" style="77" customWidth="1"/>
    <col min="14335" max="14338" width="0" style="77" hidden="1" customWidth="1"/>
    <col min="14339" max="14339" width="12.33203125" style="77" bestFit="1" customWidth="1"/>
    <col min="14340" max="14340" width="0" style="77" hidden="1" customWidth="1"/>
    <col min="14341" max="14587" width="9.33203125" style="77"/>
    <col min="14588" max="14588" width="3.44140625" style="77" customWidth="1"/>
    <col min="14589" max="14589" width="5.6640625" style="77" bestFit="1" customWidth="1"/>
    <col min="14590" max="14590" width="36" style="77" customWidth="1"/>
    <col min="14591" max="14594" width="0" style="77" hidden="1" customWidth="1"/>
    <col min="14595" max="14595" width="12.33203125" style="77" bestFit="1" customWidth="1"/>
    <col min="14596" max="14596" width="0" style="77" hidden="1" customWidth="1"/>
    <col min="14597" max="14843" width="9.33203125" style="77"/>
    <col min="14844" max="14844" width="3.44140625" style="77" customWidth="1"/>
    <col min="14845" max="14845" width="5.6640625" style="77" bestFit="1" customWidth="1"/>
    <col min="14846" max="14846" width="36" style="77" customWidth="1"/>
    <col min="14847" max="14850" width="0" style="77" hidden="1" customWidth="1"/>
    <col min="14851" max="14851" width="12.33203125" style="77" bestFit="1" customWidth="1"/>
    <col min="14852" max="14852" width="0" style="77" hidden="1" customWidth="1"/>
    <col min="14853" max="15099" width="9.33203125" style="77"/>
    <col min="15100" max="15100" width="3.44140625" style="77" customWidth="1"/>
    <col min="15101" max="15101" width="5.6640625" style="77" bestFit="1" customWidth="1"/>
    <col min="15102" max="15102" width="36" style="77" customWidth="1"/>
    <col min="15103" max="15106" width="0" style="77" hidden="1" customWidth="1"/>
    <col min="15107" max="15107" width="12.33203125" style="77" bestFit="1" customWidth="1"/>
    <col min="15108" max="15108" width="0" style="77" hidden="1" customWidth="1"/>
    <col min="15109" max="15355" width="9.33203125" style="77"/>
    <col min="15356" max="15356" width="3.44140625" style="77" customWidth="1"/>
    <col min="15357" max="15357" width="5.6640625" style="77" bestFit="1" customWidth="1"/>
    <col min="15358" max="15358" width="36" style="77" customWidth="1"/>
    <col min="15359" max="15362" width="0" style="77" hidden="1" customWidth="1"/>
    <col min="15363" max="15363" width="12.33203125" style="77" bestFit="1" customWidth="1"/>
    <col min="15364" max="15364" width="0" style="77" hidden="1" customWidth="1"/>
    <col min="15365" max="15611" width="9.33203125" style="77"/>
    <col min="15612" max="15612" width="3.44140625" style="77" customWidth="1"/>
    <col min="15613" max="15613" width="5.6640625" style="77" bestFit="1" customWidth="1"/>
    <col min="15614" max="15614" width="36" style="77" customWidth="1"/>
    <col min="15615" max="15618" width="0" style="77" hidden="1" customWidth="1"/>
    <col min="15619" max="15619" width="12.33203125" style="77" bestFit="1" customWidth="1"/>
    <col min="15620" max="15620" width="0" style="77" hidden="1" customWidth="1"/>
    <col min="15621" max="15867" width="9.33203125" style="77"/>
    <col min="15868" max="15868" width="3.44140625" style="77" customWidth="1"/>
    <col min="15869" max="15869" width="5.6640625" style="77" bestFit="1" customWidth="1"/>
    <col min="15870" max="15870" width="36" style="77" customWidth="1"/>
    <col min="15871" max="15874" width="0" style="77" hidden="1" customWidth="1"/>
    <col min="15875" max="15875" width="12.33203125" style="77" bestFit="1" customWidth="1"/>
    <col min="15876" max="15876" width="0" style="77" hidden="1" customWidth="1"/>
    <col min="15877" max="16123" width="9.33203125" style="77"/>
    <col min="16124" max="16124" width="3.44140625" style="77" customWidth="1"/>
    <col min="16125" max="16125" width="5.6640625" style="77" bestFit="1" customWidth="1"/>
    <col min="16126" max="16126" width="36" style="77" customWidth="1"/>
    <col min="16127" max="16130" width="0" style="77" hidden="1" customWidth="1"/>
    <col min="16131" max="16131" width="12.33203125" style="77" bestFit="1" customWidth="1"/>
    <col min="16132" max="16132" width="0" style="77" hidden="1" customWidth="1"/>
    <col min="16133" max="16384" width="9.33203125" style="77"/>
  </cols>
  <sheetData>
    <row r="2" spans="2:4" x14ac:dyDescent="0.3">
      <c r="B2" s="612" t="s">
        <v>482</v>
      </c>
      <c r="C2" s="612"/>
      <c r="D2" s="612"/>
    </row>
    <row r="3" spans="2:4" x14ac:dyDescent="0.3">
      <c r="B3" s="613" t="s">
        <v>483</v>
      </c>
      <c r="C3" s="613"/>
      <c r="D3" s="613"/>
    </row>
    <row r="4" spans="2:4" x14ac:dyDescent="0.3">
      <c r="B4" s="613" t="str">
        <f>'F6 (2)'!B4:D4</f>
        <v>CHHATTISGARH STATE POWER TRANSMISSION COMPANY LIMITED</v>
      </c>
      <c r="C4" s="613"/>
      <c r="D4" s="613"/>
    </row>
    <row r="5" spans="2:4" ht="27.6" x14ac:dyDescent="0.3">
      <c r="B5" s="78" t="s">
        <v>1</v>
      </c>
      <c r="C5" s="78" t="s">
        <v>2</v>
      </c>
      <c r="D5" s="79" t="s">
        <v>25</v>
      </c>
    </row>
    <row r="6" spans="2:4" s="83" customFormat="1" x14ac:dyDescent="0.3">
      <c r="B6" s="80"/>
      <c r="C6" s="81"/>
      <c r="D6" s="82"/>
    </row>
    <row r="7" spans="2:4" x14ac:dyDescent="0.3">
      <c r="B7" s="94" t="s">
        <v>484</v>
      </c>
      <c r="C7" s="95" t="s">
        <v>485</v>
      </c>
      <c r="D7" s="85"/>
    </row>
    <row r="8" spans="2:4" x14ac:dyDescent="0.3">
      <c r="B8" s="96" t="s">
        <v>486</v>
      </c>
      <c r="C8" s="97" t="s">
        <v>487</v>
      </c>
      <c r="D8" s="86"/>
    </row>
    <row r="9" spans="2:4" x14ac:dyDescent="0.3">
      <c r="B9" s="96"/>
      <c r="C9" s="98" t="s">
        <v>488</v>
      </c>
      <c r="D9" s="86" t="e">
        <f>#REF!/10^7</f>
        <v>#REF!</v>
      </c>
    </row>
    <row r="10" spans="2:4" x14ac:dyDescent="0.3">
      <c r="B10" s="96"/>
      <c r="C10" s="98" t="s">
        <v>489</v>
      </c>
      <c r="D10" s="86" t="e">
        <f>#REF!/10^7</f>
        <v>#REF!</v>
      </c>
    </row>
    <row r="11" spans="2:4" ht="27.6" x14ac:dyDescent="0.3">
      <c r="B11" s="96"/>
      <c r="C11" s="98" t="s">
        <v>490</v>
      </c>
      <c r="D11" s="86" t="e">
        <f>#REF!/10^7</f>
        <v>#REF!</v>
      </c>
    </row>
    <row r="12" spans="2:4" x14ac:dyDescent="0.3">
      <c r="B12" s="96" t="s">
        <v>491</v>
      </c>
      <c r="C12" s="97" t="s">
        <v>492</v>
      </c>
      <c r="D12" s="86"/>
    </row>
    <row r="13" spans="2:4" x14ac:dyDescent="0.3">
      <c r="B13" s="96"/>
      <c r="C13" s="98" t="s">
        <v>493</v>
      </c>
      <c r="D13" s="86" t="e">
        <f>#REF!/10^7</f>
        <v>#REF!</v>
      </c>
    </row>
    <row r="14" spans="2:4" x14ac:dyDescent="0.3">
      <c r="B14" s="96"/>
      <c r="C14" s="98" t="s">
        <v>494</v>
      </c>
      <c r="D14" s="86" t="e">
        <f>#REF!/10^7</f>
        <v>#REF!</v>
      </c>
    </row>
    <row r="15" spans="2:4" x14ac:dyDescent="0.3">
      <c r="B15" s="96"/>
      <c r="C15" s="98" t="s">
        <v>495</v>
      </c>
      <c r="D15" s="86" t="e">
        <f>#REF!/10^7</f>
        <v>#REF!</v>
      </c>
    </row>
    <row r="16" spans="2:4" x14ac:dyDescent="0.3">
      <c r="B16" s="96"/>
      <c r="C16" s="98" t="s">
        <v>496</v>
      </c>
      <c r="D16" s="86" t="e">
        <f>#REF!/10^7</f>
        <v>#REF!</v>
      </c>
    </row>
    <row r="17" spans="2:4" x14ac:dyDescent="0.3">
      <c r="B17" s="96" t="s">
        <v>497</v>
      </c>
      <c r="C17" s="97" t="s">
        <v>498</v>
      </c>
      <c r="D17" s="87"/>
    </row>
    <row r="18" spans="2:4" x14ac:dyDescent="0.3">
      <c r="B18" s="96"/>
      <c r="C18" s="98" t="s">
        <v>499</v>
      </c>
      <c r="D18" s="87" t="e">
        <f>#REF!/10^7</f>
        <v>#REF!</v>
      </c>
    </row>
    <row r="19" spans="2:4" s="90" customFormat="1" x14ac:dyDescent="0.3">
      <c r="B19" s="96"/>
      <c r="C19" s="98" t="s">
        <v>500</v>
      </c>
      <c r="D19" s="87" t="e">
        <f>#REF!/10^7</f>
        <v>#REF!</v>
      </c>
    </row>
    <row r="20" spans="2:4" x14ac:dyDescent="0.3">
      <c r="B20" s="96"/>
      <c r="C20" s="98" t="s">
        <v>501</v>
      </c>
      <c r="D20" s="87" t="e">
        <f>#REF!/10^7</f>
        <v>#REF!</v>
      </c>
    </row>
    <row r="21" spans="2:4" x14ac:dyDescent="0.3">
      <c r="B21" s="96"/>
      <c r="C21" s="98" t="s">
        <v>502</v>
      </c>
      <c r="D21" s="87" t="e">
        <f>#REF!/10^7</f>
        <v>#REF!</v>
      </c>
    </row>
    <row r="22" spans="2:4" ht="14.4" thickBot="1" x14ac:dyDescent="0.35">
      <c r="B22" s="96"/>
      <c r="C22" s="98"/>
      <c r="D22" s="87"/>
    </row>
    <row r="23" spans="2:4" ht="14.4" thickBot="1" x14ac:dyDescent="0.35">
      <c r="B23" s="99"/>
      <c r="C23" s="100" t="s">
        <v>503</v>
      </c>
      <c r="D23" s="91" t="e">
        <f>SUM(D9:D22)</f>
        <v>#REF!</v>
      </c>
    </row>
    <row r="24" spans="2:4" x14ac:dyDescent="0.3">
      <c r="B24" s="96"/>
      <c r="C24" s="101"/>
      <c r="D24" s="87"/>
    </row>
    <row r="25" spans="2:4" x14ac:dyDescent="0.3">
      <c r="B25" s="94" t="s">
        <v>504</v>
      </c>
      <c r="C25" s="102" t="s">
        <v>505</v>
      </c>
      <c r="D25" s="85"/>
    </row>
    <row r="26" spans="2:4" x14ac:dyDescent="0.3">
      <c r="B26" s="96" t="s">
        <v>486</v>
      </c>
      <c r="C26" s="97" t="s">
        <v>506</v>
      </c>
      <c r="D26" s="87"/>
    </row>
    <row r="27" spans="2:4" x14ac:dyDescent="0.3">
      <c r="B27" s="96"/>
      <c r="C27" s="98" t="s">
        <v>507</v>
      </c>
      <c r="D27" s="87" t="e">
        <f>#REF!/10^7</f>
        <v>#REF!</v>
      </c>
    </row>
    <row r="28" spans="2:4" x14ac:dyDescent="0.3">
      <c r="B28" s="96"/>
      <c r="C28" s="98" t="s">
        <v>508</v>
      </c>
      <c r="D28" s="87" t="e">
        <f>#REF!/10^7</f>
        <v>#REF!</v>
      </c>
    </row>
    <row r="29" spans="2:4" ht="12.75" customHeight="1" x14ac:dyDescent="0.3">
      <c r="B29" s="96"/>
      <c r="C29" s="98" t="s">
        <v>509</v>
      </c>
      <c r="D29" s="87" t="e">
        <f>#REF!/10^7</f>
        <v>#REF!</v>
      </c>
    </row>
    <row r="30" spans="2:4" x14ac:dyDescent="0.3">
      <c r="B30" s="96"/>
      <c r="C30" s="98" t="s">
        <v>510</v>
      </c>
      <c r="D30" s="87" t="e">
        <f>#REF!/10^7</f>
        <v>#REF!</v>
      </c>
    </row>
    <row r="31" spans="2:4" x14ac:dyDescent="0.3">
      <c r="B31" s="96"/>
      <c r="C31" s="98" t="s">
        <v>511</v>
      </c>
      <c r="D31" s="87" t="e">
        <f>#REF!/10^7</f>
        <v>#REF!</v>
      </c>
    </row>
    <row r="32" spans="2:4" x14ac:dyDescent="0.3">
      <c r="B32" s="96"/>
      <c r="C32" s="98"/>
      <c r="D32" s="87"/>
    </row>
    <row r="33" spans="2:4" x14ac:dyDescent="0.3">
      <c r="B33" s="96"/>
      <c r="C33" s="104" t="s">
        <v>512</v>
      </c>
      <c r="D33" s="87" t="e">
        <f>#REF!/10^7</f>
        <v>#REF!</v>
      </c>
    </row>
    <row r="34" spans="2:4" x14ac:dyDescent="0.3">
      <c r="B34" s="96"/>
      <c r="C34" s="104" t="s">
        <v>513</v>
      </c>
      <c r="D34" s="87" t="e">
        <f>#REF!/10^7</f>
        <v>#REF!</v>
      </c>
    </row>
    <row r="35" spans="2:4" x14ac:dyDescent="0.3">
      <c r="B35" s="96"/>
      <c r="C35" s="104" t="s">
        <v>514</v>
      </c>
      <c r="D35" s="87" t="e">
        <f>#REF!/10^7</f>
        <v>#REF!</v>
      </c>
    </row>
    <row r="36" spans="2:4" x14ac:dyDescent="0.3">
      <c r="B36" s="96"/>
      <c r="C36" s="104" t="s">
        <v>515</v>
      </c>
      <c r="D36" s="87" t="e">
        <f>#REF!/10^7</f>
        <v>#REF!</v>
      </c>
    </row>
    <row r="37" spans="2:4" x14ac:dyDescent="0.3">
      <c r="B37" s="96" t="s">
        <v>491</v>
      </c>
      <c r="C37" s="97" t="s">
        <v>516</v>
      </c>
      <c r="D37" s="87"/>
    </row>
    <row r="38" spans="2:4" x14ac:dyDescent="0.3">
      <c r="B38" s="96"/>
      <c r="C38" s="104" t="s">
        <v>517</v>
      </c>
      <c r="D38" s="87" t="e">
        <f>#REF!/10^7</f>
        <v>#REF!</v>
      </c>
    </row>
    <row r="39" spans="2:4" x14ac:dyDescent="0.3">
      <c r="B39" s="96"/>
      <c r="C39" s="98" t="s">
        <v>518</v>
      </c>
      <c r="D39" s="87" t="e">
        <f>#REF!/10^7</f>
        <v>#REF!</v>
      </c>
    </row>
    <row r="40" spans="2:4" x14ac:dyDescent="0.3">
      <c r="B40" s="96"/>
      <c r="C40" s="98" t="s">
        <v>519</v>
      </c>
      <c r="D40" s="87" t="e">
        <f>#REF!/10^7</f>
        <v>#REF!</v>
      </c>
    </row>
    <row r="41" spans="2:4" x14ac:dyDescent="0.3">
      <c r="B41" s="96"/>
      <c r="C41" s="98" t="s">
        <v>520</v>
      </c>
      <c r="D41" s="87" t="e">
        <f>#REF!/10^7</f>
        <v>#REF!</v>
      </c>
    </row>
    <row r="42" spans="2:4" x14ac:dyDescent="0.3">
      <c r="B42" s="96"/>
      <c r="C42" s="98" t="s">
        <v>521</v>
      </c>
      <c r="D42" s="87" t="e">
        <f>#REF!/10^7</f>
        <v>#REF!</v>
      </c>
    </row>
    <row r="43" spans="2:4" ht="14.4" thickBot="1" x14ac:dyDescent="0.35">
      <c r="B43" s="96"/>
      <c r="C43" s="98" t="s">
        <v>522</v>
      </c>
      <c r="D43" s="87" t="e">
        <f>#REF!/10^7</f>
        <v>#REF!</v>
      </c>
    </row>
    <row r="44" spans="2:4" ht="14.4" thickBot="1" x14ac:dyDescent="0.35">
      <c r="B44" s="99"/>
      <c r="C44" s="100" t="s">
        <v>523</v>
      </c>
      <c r="D44" s="91" t="e">
        <f>SUM(D27:D43)</f>
        <v>#REF!</v>
      </c>
    </row>
    <row r="45" spans="2:4" x14ac:dyDescent="0.3">
      <c r="D45" s="93"/>
    </row>
  </sheetData>
  <mergeCells count="3">
    <mergeCell ref="B2:D2"/>
    <mergeCell ref="B3:D3"/>
    <mergeCell ref="B4:D4"/>
  </mergeCells>
  <pageMargins left="0.7" right="0.7" top="0.75" bottom="0.75" header="0.3" footer="0.3"/>
  <pageSetup scale="58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70"/>
  <sheetViews>
    <sheetView showGridLines="0" view="pageBreakPreview" zoomScale="90" zoomScaleNormal="100" zoomScaleSheetLayoutView="90" workbookViewId="0">
      <selection activeCell="D30" sqref="D30"/>
    </sheetView>
  </sheetViews>
  <sheetFormatPr defaultRowHeight="13.8" x14ac:dyDescent="0.3"/>
  <cols>
    <col min="1" max="1" width="3.44140625" style="77" customWidth="1"/>
    <col min="2" max="2" width="5.6640625" style="92" bestFit="1" customWidth="1"/>
    <col min="3" max="3" width="61.33203125" style="77" bestFit="1" customWidth="1"/>
    <col min="4" max="4" width="16.33203125" style="77" bestFit="1" customWidth="1"/>
    <col min="5" max="251" width="9.33203125" style="77"/>
    <col min="252" max="252" width="3.44140625" style="77" customWidth="1"/>
    <col min="253" max="253" width="5.6640625" style="77" bestFit="1" customWidth="1"/>
    <col min="254" max="254" width="61.33203125" style="77" bestFit="1" customWidth="1"/>
    <col min="255" max="258" width="0" style="77" hidden="1" customWidth="1"/>
    <col min="259" max="259" width="9.6640625" style="77" bestFit="1" customWidth="1"/>
    <col min="260" max="260" width="0" style="77" hidden="1" customWidth="1"/>
    <col min="261" max="507" width="9.33203125" style="77"/>
    <col min="508" max="508" width="3.44140625" style="77" customWidth="1"/>
    <col min="509" max="509" width="5.6640625" style="77" bestFit="1" customWidth="1"/>
    <col min="510" max="510" width="61.33203125" style="77" bestFit="1" customWidth="1"/>
    <col min="511" max="514" width="0" style="77" hidden="1" customWidth="1"/>
    <col min="515" max="515" width="9.6640625" style="77" bestFit="1" customWidth="1"/>
    <col min="516" max="516" width="0" style="77" hidden="1" customWidth="1"/>
    <col min="517" max="763" width="9.33203125" style="77"/>
    <col min="764" max="764" width="3.44140625" style="77" customWidth="1"/>
    <col min="765" max="765" width="5.6640625" style="77" bestFit="1" customWidth="1"/>
    <col min="766" max="766" width="61.33203125" style="77" bestFit="1" customWidth="1"/>
    <col min="767" max="770" width="0" style="77" hidden="1" customWidth="1"/>
    <col min="771" max="771" width="9.6640625" style="77" bestFit="1" customWidth="1"/>
    <col min="772" max="772" width="0" style="77" hidden="1" customWidth="1"/>
    <col min="773" max="1019" width="9.33203125" style="77"/>
    <col min="1020" max="1020" width="3.44140625" style="77" customWidth="1"/>
    <col min="1021" max="1021" width="5.6640625" style="77" bestFit="1" customWidth="1"/>
    <col min="1022" max="1022" width="61.33203125" style="77" bestFit="1" customWidth="1"/>
    <col min="1023" max="1026" width="0" style="77" hidden="1" customWidth="1"/>
    <col min="1027" max="1027" width="9.6640625" style="77" bestFit="1" customWidth="1"/>
    <col min="1028" max="1028" width="0" style="77" hidden="1" customWidth="1"/>
    <col min="1029" max="1275" width="9.33203125" style="77"/>
    <col min="1276" max="1276" width="3.44140625" style="77" customWidth="1"/>
    <col min="1277" max="1277" width="5.6640625" style="77" bestFit="1" customWidth="1"/>
    <col min="1278" max="1278" width="61.33203125" style="77" bestFit="1" customWidth="1"/>
    <col min="1279" max="1282" width="0" style="77" hidden="1" customWidth="1"/>
    <col min="1283" max="1283" width="9.6640625" style="77" bestFit="1" customWidth="1"/>
    <col min="1284" max="1284" width="0" style="77" hidden="1" customWidth="1"/>
    <col min="1285" max="1531" width="9.33203125" style="77"/>
    <col min="1532" max="1532" width="3.44140625" style="77" customWidth="1"/>
    <col min="1533" max="1533" width="5.6640625" style="77" bestFit="1" customWidth="1"/>
    <col min="1534" max="1534" width="61.33203125" style="77" bestFit="1" customWidth="1"/>
    <col min="1535" max="1538" width="0" style="77" hidden="1" customWidth="1"/>
    <col min="1539" max="1539" width="9.6640625" style="77" bestFit="1" customWidth="1"/>
    <col min="1540" max="1540" width="0" style="77" hidden="1" customWidth="1"/>
    <col min="1541" max="1787" width="9.33203125" style="77"/>
    <col min="1788" max="1788" width="3.44140625" style="77" customWidth="1"/>
    <col min="1789" max="1789" width="5.6640625" style="77" bestFit="1" customWidth="1"/>
    <col min="1790" max="1790" width="61.33203125" style="77" bestFit="1" customWidth="1"/>
    <col min="1791" max="1794" width="0" style="77" hidden="1" customWidth="1"/>
    <col min="1795" max="1795" width="9.6640625" style="77" bestFit="1" customWidth="1"/>
    <col min="1796" max="1796" width="0" style="77" hidden="1" customWidth="1"/>
    <col min="1797" max="2043" width="9.33203125" style="77"/>
    <col min="2044" max="2044" width="3.44140625" style="77" customWidth="1"/>
    <col min="2045" max="2045" width="5.6640625" style="77" bestFit="1" customWidth="1"/>
    <col min="2046" max="2046" width="61.33203125" style="77" bestFit="1" customWidth="1"/>
    <col min="2047" max="2050" width="0" style="77" hidden="1" customWidth="1"/>
    <col min="2051" max="2051" width="9.6640625" style="77" bestFit="1" customWidth="1"/>
    <col min="2052" max="2052" width="0" style="77" hidden="1" customWidth="1"/>
    <col min="2053" max="2299" width="9.33203125" style="77"/>
    <col min="2300" max="2300" width="3.44140625" style="77" customWidth="1"/>
    <col min="2301" max="2301" width="5.6640625" style="77" bestFit="1" customWidth="1"/>
    <col min="2302" max="2302" width="61.33203125" style="77" bestFit="1" customWidth="1"/>
    <col min="2303" max="2306" width="0" style="77" hidden="1" customWidth="1"/>
    <col min="2307" max="2307" width="9.6640625" style="77" bestFit="1" customWidth="1"/>
    <col min="2308" max="2308" width="0" style="77" hidden="1" customWidth="1"/>
    <col min="2309" max="2555" width="9.33203125" style="77"/>
    <col min="2556" max="2556" width="3.44140625" style="77" customWidth="1"/>
    <col min="2557" max="2557" width="5.6640625" style="77" bestFit="1" customWidth="1"/>
    <col min="2558" max="2558" width="61.33203125" style="77" bestFit="1" customWidth="1"/>
    <col min="2559" max="2562" width="0" style="77" hidden="1" customWidth="1"/>
    <col min="2563" max="2563" width="9.6640625" style="77" bestFit="1" customWidth="1"/>
    <col min="2564" max="2564" width="0" style="77" hidden="1" customWidth="1"/>
    <col min="2565" max="2811" width="9.33203125" style="77"/>
    <col min="2812" max="2812" width="3.44140625" style="77" customWidth="1"/>
    <col min="2813" max="2813" width="5.6640625" style="77" bestFit="1" customWidth="1"/>
    <col min="2814" max="2814" width="61.33203125" style="77" bestFit="1" customWidth="1"/>
    <col min="2815" max="2818" width="0" style="77" hidden="1" customWidth="1"/>
    <col min="2819" max="2819" width="9.6640625" style="77" bestFit="1" customWidth="1"/>
    <col min="2820" max="2820" width="0" style="77" hidden="1" customWidth="1"/>
    <col min="2821" max="3067" width="9.33203125" style="77"/>
    <col min="3068" max="3068" width="3.44140625" style="77" customWidth="1"/>
    <col min="3069" max="3069" width="5.6640625" style="77" bestFit="1" customWidth="1"/>
    <col min="3070" max="3070" width="61.33203125" style="77" bestFit="1" customWidth="1"/>
    <col min="3071" max="3074" width="0" style="77" hidden="1" customWidth="1"/>
    <col min="3075" max="3075" width="9.6640625" style="77" bestFit="1" customWidth="1"/>
    <col min="3076" max="3076" width="0" style="77" hidden="1" customWidth="1"/>
    <col min="3077" max="3323" width="9.33203125" style="77"/>
    <col min="3324" max="3324" width="3.44140625" style="77" customWidth="1"/>
    <col min="3325" max="3325" width="5.6640625" style="77" bestFit="1" customWidth="1"/>
    <col min="3326" max="3326" width="61.33203125" style="77" bestFit="1" customWidth="1"/>
    <col min="3327" max="3330" width="0" style="77" hidden="1" customWidth="1"/>
    <col min="3331" max="3331" width="9.6640625" style="77" bestFit="1" customWidth="1"/>
    <col min="3332" max="3332" width="0" style="77" hidden="1" customWidth="1"/>
    <col min="3333" max="3579" width="9.33203125" style="77"/>
    <col min="3580" max="3580" width="3.44140625" style="77" customWidth="1"/>
    <col min="3581" max="3581" width="5.6640625" style="77" bestFit="1" customWidth="1"/>
    <col min="3582" max="3582" width="61.33203125" style="77" bestFit="1" customWidth="1"/>
    <col min="3583" max="3586" width="0" style="77" hidden="1" customWidth="1"/>
    <col min="3587" max="3587" width="9.6640625" style="77" bestFit="1" customWidth="1"/>
    <col min="3588" max="3588" width="0" style="77" hidden="1" customWidth="1"/>
    <col min="3589" max="3835" width="9.33203125" style="77"/>
    <col min="3836" max="3836" width="3.44140625" style="77" customWidth="1"/>
    <col min="3837" max="3837" width="5.6640625" style="77" bestFit="1" customWidth="1"/>
    <col min="3838" max="3838" width="61.33203125" style="77" bestFit="1" customWidth="1"/>
    <col min="3839" max="3842" width="0" style="77" hidden="1" customWidth="1"/>
    <col min="3843" max="3843" width="9.6640625" style="77" bestFit="1" customWidth="1"/>
    <col min="3844" max="3844" width="0" style="77" hidden="1" customWidth="1"/>
    <col min="3845" max="4091" width="9.33203125" style="77"/>
    <col min="4092" max="4092" width="3.44140625" style="77" customWidth="1"/>
    <col min="4093" max="4093" width="5.6640625" style="77" bestFit="1" customWidth="1"/>
    <col min="4094" max="4094" width="61.33203125" style="77" bestFit="1" customWidth="1"/>
    <col min="4095" max="4098" width="0" style="77" hidden="1" customWidth="1"/>
    <col min="4099" max="4099" width="9.6640625" style="77" bestFit="1" customWidth="1"/>
    <col min="4100" max="4100" width="0" style="77" hidden="1" customWidth="1"/>
    <col min="4101" max="4347" width="9.33203125" style="77"/>
    <col min="4348" max="4348" width="3.44140625" style="77" customWidth="1"/>
    <col min="4349" max="4349" width="5.6640625" style="77" bestFit="1" customWidth="1"/>
    <col min="4350" max="4350" width="61.33203125" style="77" bestFit="1" customWidth="1"/>
    <col min="4351" max="4354" width="0" style="77" hidden="1" customWidth="1"/>
    <col min="4355" max="4355" width="9.6640625" style="77" bestFit="1" customWidth="1"/>
    <col min="4356" max="4356" width="0" style="77" hidden="1" customWidth="1"/>
    <col min="4357" max="4603" width="9.33203125" style="77"/>
    <col min="4604" max="4604" width="3.44140625" style="77" customWidth="1"/>
    <col min="4605" max="4605" width="5.6640625" style="77" bestFit="1" customWidth="1"/>
    <col min="4606" max="4606" width="61.33203125" style="77" bestFit="1" customWidth="1"/>
    <col min="4607" max="4610" width="0" style="77" hidden="1" customWidth="1"/>
    <col min="4611" max="4611" width="9.6640625" style="77" bestFit="1" customWidth="1"/>
    <col min="4612" max="4612" width="0" style="77" hidden="1" customWidth="1"/>
    <col min="4613" max="4859" width="9.33203125" style="77"/>
    <col min="4860" max="4860" width="3.44140625" style="77" customWidth="1"/>
    <col min="4861" max="4861" width="5.6640625" style="77" bestFit="1" customWidth="1"/>
    <col min="4862" max="4862" width="61.33203125" style="77" bestFit="1" customWidth="1"/>
    <col min="4863" max="4866" width="0" style="77" hidden="1" customWidth="1"/>
    <col min="4867" max="4867" width="9.6640625" style="77" bestFit="1" customWidth="1"/>
    <col min="4868" max="4868" width="0" style="77" hidden="1" customWidth="1"/>
    <col min="4869" max="5115" width="9.33203125" style="77"/>
    <col min="5116" max="5116" width="3.44140625" style="77" customWidth="1"/>
    <col min="5117" max="5117" width="5.6640625" style="77" bestFit="1" customWidth="1"/>
    <col min="5118" max="5118" width="61.33203125" style="77" bestFit="1" customWidth="1"/>
    <col min="5119" max="5122" width="0" style="77" hidden="1" customWidth="1"/>
    <col min="5123" max="5123" width="9.6640625" style="77" bestFit="1" customWidth="1"/>
    <col min="5124" max="5124" width="0" style="77" hidden="1" customWidth="1"/>
    <col min="5125" max="5371" width="9.33203125" style="77"/>
    <col min="5372" max="5372" width="3.44140625" style="77" customWidth="1"/>
    <col min="5373" max="5373" width="5.6640625" style="77" bestFit="1" customWidth="1"/>
    <col min="5374" max="5374" width="61.33203125" style="77" bestFit="1" customWidth="1"/>
    <col min="5375" max="5378" width="0" style="77" hidden="1" customWidth="1"/>
    <col min="5379" max="5379" width="9.6640625" style="77" bestFit="1" customWidth="1"/>
    <col min="5380" max="5380" width="0" style="77" hidden="1" customWidth="1"/>
    <col min="5381" max="5627" width="9.33203125" style="77"/>
    <col min="5628" max="5628" width="3.44140625" style="77" customWidth="1"/>
    <col min="5629" max="5629" width="5.6640625" style="77" bestFit="1" customWidth="1"/>
    <col min="5630" max="5630" width="61.33203125" style="77" bestFit="1" customWidth="1"/>
    <col min="5631" max="5634" width="0" style="77" hidden="1" customWidth="1"/>
    <col min="5635" max="5635" width="9.6640625" style="77" bestFit="1" customWidth="1"/>
    <col min="5636" max="5636" width="0" style="77" hidden="1" customWidth="1"/>
    <col min="5637" max="5883" width="9.33203125" style="77"/>
    <col min="5884" max="5884" width="3.44140625" style="77" customWidth="1"/>
    <col min="5885" max="5885" width="5.6640625" style="77" bestFit="1" customWidth="1"/>
    <col min="5886" max="5886" width="61.33203125" style="77" bestFit="1" customWidth="1"/>
    <col min="5887" max="5890" width="0" style="77" hidden="1" customWidth="1"/>
    <col min="5891" max="5891" width="9.6640625" style="77" bestFit="1" customWidth="1"/>
    <col min="5892" max="5892" width="0" style="77" hidden="1" customWidth="1"/>
    <col min="5893" max="6139" width="9.33203125" style="77"/>
    <col min="6140" max="6140" width="3.44140625" style="77" customWidth="1"/>
    <col min="6141" max="6141" width="5.6640625" style="77" bestFit="1" customWidth="1"/>
    <col min="6142" max="6142" width="61.33203125" style="77" bestFit="1" customWidth="1"/>
    <col min="6143" max="6146" width="0" style="77" hidden="1" customWidth="1"/>
    <col min="6147" max="6147" width="9.6640625" style="77" bestFit="1" customWidth="1"/>
    <col min="6148" max="6148" width="0" style="77" hidden="1" customWidth="1"/>
    <col min="6149" max="6395" width="9.33203125" style="77"/>
    <col min="6396" max="6396" width="3.44140625" style="77" customWidth="1"/>
    <col min="6397" max="6397" width="5.6640625" style="77" bestFit="1" customWidth="1"/>
    <col min="6398" max="6398" width="61.33203125" style="77" bestFit="1" customWidth="1"/>
    <col min="6399" max="6402" width="0" style="77" hidden="1" customWidth="1"/>
    <col min="6403" max="6403" width="9.6640625" style="77" bestFit="1" customWidth="1"/>
    <col min="6404" max="6404" width="0" style="77" hidden="1" customWidth="1"/>
    <col min="6405" max="6651" width="9.33203125" style="77"/>
    <col min="6652" max="6652" width="3.44140625" style="77" customWidth="1"/>
    <col min="6653" max="6653" width="5.6640625" style="77" bestFit="1" customWidth="1"/>
    <col min="6654" max="6654" width="61.33203125" style="77" bestFit="1" customWidth="1"/>
    <col min="6655" max="6658" width="0" style="77" hidden="1" customWidth="1"/>
    <col min="6659" max="6659" width="9.6640625" style="77" bestFit="1" customWidth="1"/>
    <col min="6660" max="6660" width="0" style="77" hidden="1" customWidth="1"/>
    <col min="6661" max="6907" width="9.33203125" style="77"/>
    <col min="6908" max="6908" width="3.44140625" style="77" customWidth="1"/>
    <col min="6909" max="6909" width="5.6640625" style="77" bestFit="1" customWidth="1"/>
    <col min="6910" max="6910" width="61.33203125" style="77" bestFit="1" customWidth="1"/>
    <col min="6911" max="6914" width="0" style="77" hidden="1" customWidth="1"/>
    <col min="6915" max="6915" width="9.6640625" style="77" bestFit="1" customWidth="1"/>
    <col min="6916" max="6916" width="0" style="77" hidden="1" customWidth="1"/>
    <col min="6917" max="7163" width="9.33203125" style="77"/>
    <col min="7164" max="7164" width="3.44140625" style="77" customWidth="1"/>
    <col min="7165" max="7165" width="5.6640625" style="77" bestFit="1" customWidth="1"/>
    <col min="7166" max="7166" width="61.33203125" style="77" bestFit="1" customWidth="1"/>
    <col min="7167" max="7170" width="0" style="77" hidden="1" customWidth="1"/>
    <col min="7171" max="7171" width="9.6640625" style="77" bestFit="1" customWidth="1"/>
    <col min="7172" max="7172" width="0" style="77" hidden="1" customWidth="1"/>
    <col min="7173" max="7419" width="9.33203125" style="77"/>
    <col min="7420" max="7420" width="3.44140625" style="77" customWidth="1"/>
    <col min="7421" max="7421" width="5.6640625" style="77" bestFit="1" customWidth="1"/>
    <col min="7422" max="7422" width="61.33203125" style="77" bestFit="1" customWidth="1"/>
    <col min="7423" max="7426" width="0" style="77" hidden="1" customWidth="1"/>
    <col min="7427" max="7427" width="9.6640625" style="77" bestFit="1" customWidth="1"/>
    <col min="7428" max="7428" width="0" style="77" hidden="1" customWidth="1"/>
    <col min="7429" max="7675" width="9.33203125" style="77"/>
    <col min="7676" max="7676" width="3.44140625" style="77" customWidth="1"/>
    <col min="7677" max="7677" width="5.6640625" style="77" bestFit="1" customWidth="1"/>
    <col min="7678" max="7678" width="61.33203125" style="77" bestFit="1" customWidth="1"/>
    <col min="7679" max="7682" width="0" style="77" hidden="1" customWidth="1"/>
    <col min="7683" max="7683" width="9.6640625" style="77" bestFit="1" customWidth="1"/>
    <col min="7684" max="7684" width="0" style="77" hidden="1" customWidth="1"/>
    <col min="7685" max="7931" width="9.33203125" style="77"/>
    <col min="7932" max="7932" width="3.44140625" style="77" customWidth="1"/>
    <col min="7933" max="7933" width="5.6640625" style="77" bestFit="1" customWidth="1"/>
    <col min="7934" max="7934" width="61.33203125" style="77" bestFit="1" customWidth="1"/>
    <col min="7935" max="7938" width="0" style="77" hidden="1" customWidth="1"/>
    <col min="7939" max="7939" width="9.6640625" style="77" bestFit="1" customWidth="1"/>
    <col min="7940" max="7940" width="0" style="77" hidden="1" customWidth="1"/>
    <col min="7941" max="8187" width="9.33203125" style="77"/>
    <col min="8188" max="8188" width="3.44140625" style="77" customWidth="1"/>
    <col min="8189" max="8189" width="5.6640625" style="77" bestFit="1" customWidth="1"/>
    <col min="8190" max="8190" width="61.33203125" style="77" bestFit="1" customWidth="1"/>
    <col min="8191" max="8194" width="0" style="77" hidden="1" customWidth="1"/>
    <col min="8195" max="8195" width="9.6640625" style="77" bestFit="1" customWidth="1"/>
    <col min="8196" max="8196" width="0" style="77" hidden="1" customWidth="1"/>
    <col min="8197" max="8443" width="9.33203125" style="77"/>
    <col min="8444" max="8444" width="3.44140625" style="77" customWidth="1"/>
    <col min="8445" max="8445" width="5.6640625" style="77" bestFit="1" customWidth="1"/>
    <col min="8446" max="8446" width="61.33203125" style="77" bestFit="1" customWidth="1"/>
    <col min="8447" max="8450" width="0" style="77" hidden="1" customWidth="1"/>
    <col min="8451" max="8451" width="9.6640625" style="77" bestFit="1" customWidth="1"/>
    <col min="8452" max="8452" width="0" style="77" hidden="1" customWidth="1"/>
    <col min="8453" max="8699" width="9.33203125" style="77"/>
    <col min="8700" max="8700" width="3.44140625" style="77" customWidth="1"/>
    <col min="8701" max="8701" width="5.6640625" style="77" bestFit="1" customWidth="1"/>
    <col min="8702" max="8702" width="61.33203125" style="77" bestFit="1" customWidth="1"/>
    <col min="8703" max="8706" width="0" style="77" hidden="1" customWidth="1"/>
    <col min="8707" max="8707" width="9.6640625" style="77" bestFit="1" customWidth="1"/>
    <col min="8708" max="8708" width="0" style="77" hidden="1" customWidth="1"/>
    <col min="8709" max="8955" width="9.33203125" style="77"/>
    <col min="8956" max="8956" width="3.44140625" style="77" customWidth="1"/>
    <col min="8957" max="8957" width="5.6640625" style="77" bestFit="1" customWidth="1"/>
    <col min="8958" max="8958" width="61.33203125" style="77" bestFit="1" customWidth="1"/>
    <col min="8959" max="8962" width="0" style="77" hidden="1" customWidth="1"/>
    <col min="8963" max="8963" width="9.6640625" style="77" bestFit="1" customWidth="1"/>
    <col min="8964" max="8964" width="0" style="77" hidden="1" customWidth="1"/>
    <col min="8965" max="9211" width="9.33203125" style="77"/>
    <col min="9212" max="9212" width="3.44140625" style="77" customWidth="1"/>
    <col min="9213" max="9213" width="5.6640625" style="77" bestFit="1" customWidth="1"/>
    <col min="9214" max="9214" width="61.33203125" style="77" bestFit="1" customWidth="1"/>
    <col min="9215" max="9218" width="0" style="77" hidden="1" customWidth="1"/>
    <col min="9219" max="9219" width="9.6640625" style="77" bestFit="1" customWidth="1"/>
    <col min="9220" max="9220" width="0" style="77" hidden="1" customWidth="1"/>
    <col min="9221" max="9467" width="9.33203125" style="77"/>
    <col min="9468" max="9468" width="3.44140625" style="77" customWidth="1"/>
    <col min="9469" max="9469" width="5.6640625" style="77" bestFit="1" customWidth="1"/>
    <col min="9470" max="9470" width="61.33203125" style="77" bestFit="1" customWidth="1"/>
    <col min="9471" max="9474" width="0" style="77" hidden="1" customWidth="1"/>
    <col min="9475" max="9475" width="9.6640625" style="77" bestFit="1" customWidth="1"/>
    <col min="9476" max="9476" width="0" style="77" hidden="1" customWidth="1"/>
    <col min="9477" max="9723" width="9.33203125" style="77"/>
    <col min="9724" max="9724" width="3.44140625" style="77" customWidth="1"/>
    <col min="9725" max="9725" width="5.6640625" style="77" bestFit="1" customWidth="1"/>
    <col min="9726" max="9726" width="61.33203125" style="77" bestFit="1" customWidth="1"/>
    <col min="9727" max="9730" width="0" style="77" hidden="1" customWidth="1"/>
    <col min="9731" max="9731" width="9.6640625" style="77" bestFit="1" customWidth="1"/>
    <col min="9732" max="9732" width="0" style="77" hidden="1" customWidth="1"/>
    <col min="9733" max="9979" width="9.33203125" style="77"/>
    <col min="9980" max="9980" width="3.44140625" style="77" customWidth="1"/>
    <col min="9981" max="9981" width="5.6640625" style="77" bestFit="1" customWidth="1"/>
    <col min="9982" max="9982" width="61.33203125" style="77" bestFit="1" customWidth="1"/>
    <col min="9983" max="9986" width="0" style="77" hidden="1" customWidth="1"/>
    <col min="9987" max="9987" width="9.6640625" style="77" bestFit="1" customWidth="1"/>
    <col min="9988" max="9988" width="0" style="77" hidden="1" customWidth="1"/>
    <col min="9989" max="10235" width="9.33203125" style="77"/>
    <col min="10236" max="10236" width="3.44140625" style="77" customWidth="1"/>
    <col min="10237" max="10237" width="5.6640625" style="77" bestFit="1" customWidth="1"/>
    <col min="10238" max="10238" width="61.33203125" style="77" bestFit="1" customWidth="1"/>
    <col min="10239" max="10242" width="0" style="77" hidden="1" customWidth="1"/>
    <col min="10243" max="10243" width="9.6640625" style="77" bestFit="1" customWidth="1"/>
    <col min="10244" max="10244" width="0" style="77" hidden="1" customWidth="1"/>
    <col min="10245" max="10491" width="9.33203125" style="77"/>
    <col min="10492" max="10492" width="3.44140625" style="77" customWidth="1"/>
    <col min="10493" max="10493" width="5.6640625" style="77" bestFit="1" customWidth="1"/>
    <col min="10494" max="10494" width="61.33203125" style="77" bestFit="1" customWidth="1"/>
    <col min="10495" max="10498" width="0" style="77" hidden="1" customWidth="1"/>
    <col min="10499" max="10499" width="9.6640625" style="77" bestFit="1" customWidth="1"/>
    <col min="10500" max="10500" width="0" style="77" hidden="1" customWidth="1"/>
    <col min="10501" max="10747" width="9.33203125" style="77"/>
    <col min="10748" max="10748" width="3.44140625" style="77" customWidth="1"/>
    <col min="10749" max="10749" width="5.6640625" style="77" bestFit="1" customWidth="1"/>
    <col min="10750" max="10750" width="61.33203125" style="77" bestFit="1" customWidth="1"/>
    <col min="10751" max="10754" width="0" style="77" hidden="1" customWidth="1"/>
    <col min="10755" max="10755" width="9.6640625" style="77" bestFit="1" customWidth="1"/>
    <col min="10756" max="10756" width="0" style="77" hidden="1" customWidth="1"/>
    <col min="10757" max="11003" width="9.33203125" style="77"/>
    <col min="11004" max="11004" width="3.44140625" style="77" customWidth="1"/>
    <col min="11005" max="11005" width="5.6640625" style="77" bestFit="1" customWidth="1"/>
    <col min="11006" max="11006" width="61.33203125" style="77" bestFit="1" customWidth="1"/>
    <col min="11007" max="11010" width="0" style="77" hidden="1" customWidth="1"/>
    <col min="11011" max="11011" width="9.6640625" style="77" bestFit="1" customWidth="1"/>
    <col min="11012" max="11012" width="0" style="77" hidden="1" customWidth="1"/>
    <col min="11013" max="11259" width="9.33203125" style="77"/>
    <col min="11260" max="11260" width="3.44140625" style="77" customWidth="1"/>
    <col min="11261" max="11261" width="5.6640625" style="77" bestFit="1" customWidth="1"/>
    <col min="11262" max="11262" width="61.33203125" style="77" bestFit="1" customWidth="1"/>
    <col min="11263" max="11266" width="0" style="77" hidden="1" customWidth="1"/>
    <col min="11267" max="11267" width="9.6640625" style="77" bestFit="1" customWidth="1"/>
    <col min="11268" max="11268" width="0" style="77" hidden="1" customWidth="1"/>
    <col min="11269" max="11515" width="9.33203125" style="77"/>
    <col min="11516" max="11516" width="3.44140625" style="77" customWidth="1"/>
    <col min="11517" max="11517" width="5.6640625" style="77" bestFit="1" customWidth="1"/>
    <col min="11518" max="11518" width="61.33203125" style="77" bestFit="1" customWidth="1"/>
    <col min="11519" max="11522" width="0" style="77" hidden="1" customWidth="1"/>
    <col min="11523" max="11523" width="9.6640625" style="77" bestFit="1" customWidth="1"/>
    <col min="11524" max="11524" width="0" style="77" hidden="1" customWidth="1"/>
    <col min="11525" max="11771" width="9.33203125" style="77"/>
    <col min="11772" max="11772" width="3.44140625" style="77" customWidth="1"/>
    <col min="11773" max="11773" width="5.6640625" style="77" bestFit="1" customWidth="1"/>
    <col min="11774" max="11774" width="61.33203125" style="77" bestFit="1" customWidth="1"/>
    <col min="11775" max="11778" width="0" style="77" hidden="1" customWidth="1"/>
    <col min="11779" max="11779" width="9.6640625" style="77" bestFit="1" customWidth="1"/>
    <col min="11780" max="11780" width="0" style="77" hidden="1" customWidth="1"/>
    <col min="11781" max="12027" width="9.33203125" style="77"/>
    <col min="12028" max="12028" width="3.44140625" style="77" customWidth="1"/>
    <col min="12029" max="12029" width="5.6640625" style="77" bestFit="1" customWidth="1"/>
    <col min="12030" max="12030" width="61.33203125" style="77" bestFit="1" customWidth="1"/>
    <col min="12031" max="12034" width="0" style="77" hidden="1" customWidth="1"/>
    <col min="12035" max="12035" width="9.6640625" style="77" bestFit="1" customWidth="1"/>
    <col min="12036" max="12036" width="0" style="77" hidden="1" customWidth="1"/>
    <col min="12037" max="12283" width="9.33203125" style="77"/>
    <col min="12284" max="12284" width="3.44140625" style="77" customWidth="1"/>
    <col min="12285" max="12285" width="5.6640625" style="77" bestFit="1" customWidth="1"/>
    <col min="12286" max="12286" width="61.33203125" style="77" bestFit="1" customWidth="1"/>
    <col min="12287" max="12290" width="0" style="77" hidden="1" customWidth="1"/>
    <col min="12291" max="12291" width="9.6640625" style="77" bestFit="1" customWidth="1"/>
    <col min="12292" max="12292" width="0" style="77" hidden="1" customWidth="1"/>
    <col min="12293" max="12539" width="9.33203125" style="77"/>
    <col min="12540" max="12540" width="3.44140625" style="77" customWidth="1"/>
    <col min="12541" max="12541" width="5.6640625" style="77" bestFit="1" customWidth="1"/>
    <col min="12542" max="12542" width="61.33203125" style="77" bestFit="1" customWidth="1"/>
    <col min="12543" max="12546" width="0" style="77" hidden="1" customWidth="1"/>
    <col min="12547" max="12547" width="9.6640625" style="77" bestFit="1" customWidth="1"/>
    <col min="12548" max="12548" width="0" style="77" hidden="1" customWidth="1"/>
    <col min="12549" max="12795" width="9.33203125" style="77"/>
    <col min="12796" max="12796" width="3.44140625" style="77" customWidth="1"/>
    <col min="12797" max="12797" width="5.6640625" style="77" bestFit="1" customWidth="1"/>
    <col min="12798" max="12798" width="61.33203125" style="77" bestFit="1" customWidth="1"/>
    <col min="12799" max="12802" width="0" style="77" hidden="1" customWidth="1"/>
    <col min="12803" max="12803" width="9.6640625" style="77" bestFit="1" customWidth="1"/>
    <col min="12804" max="12804" width="0" style="77" hidden="1" customWidth="1"/>
    <col min="12805" max="13051" width="9.33203125" style="77"/>
    <col min="13052" max="13052" width="3.44140625" style="77" customWidth="1"/>
    <col min="13053" max="13053" width="5.6640625" style="77" bestFit="1" customWidth="1"/>
    <col min="13054" max="13054" width="61.33203125" style="77" bestFit="1" customWidth="1"/>
    <col min="13055" max="13058" width="0" style="77" hidden="1" customWidth="1"/>
    <col min="13059" max="13059" width="9.6640625" style="77" bestFit="1" customWidth="1"/>
    <col min="13060" max="13060" width="0" style="77" hidden="1" customWidth="1"/>
    <col min="13061" max="13307" width="9.33203125" style="77"/>
    <col min="13308" max="13308" width="3.44140625" style="77" customWidth="1"/>
    <col min="13309" max="13309" width="5.6640625" style="77" bestFit="1" customWidth="1"/>
    <col min="13310" max="13310" width="61.33203125" style="77" bestFit="1" customWidth="1"/>
    <col min="13311" max="13314" width="0" style="77" hidden="1" customWidth="1"/>
    <col min="13315" max="13315" width="9.6640625" style="77" bestFit="1" customWidth="1"/>
    <col min="13316" max="13316" width="0" style="77" hidden="1" customWidth="1"/>
    <col min="13317" max="13563" width="9.33203125" style="77"/>
    <col min="13564" max="13564" width="3.44140625" style="77" customWidth="1"/>
    <col min="13565" max="13565" width="5.6640625" style="77" bestFit="1" customWidth="1"/>
    <col min="13566" max="13566" width="61.33203125" style="77" bestFit="1" customWidth="1"/>
    <col min="13567" max="13570" width="0" style="77" hidden="1" customWidth="1"/>
    <col min="13571" max="13571" width="9.6640625" style="77" bestFit="1" customWidth="1"/>
    <col min="13572" max="13572" width="0" style="77" hidden="1" customWidth="1"/>
    <col min="13573" max="13819" width="9.33203125" style="77"/>
    <col min="13820" max="13820" width="3.44140625" style="77" customWidth="1"/>
    <col min="13821" max="13821" width="5.6640625" style="77" bestFit="1" customWidth="1"/>
    <col min="13822" max="13822" width="61.33203125" style="77" bestFit="1" customWidth="1"/>
    <col min="13823" max="13826" width="0" style="77" hidden="1" customWidth="1"/>
    <col min="13827" max="13827" width="9.6640625" style="77" bestFit="1" customWidth="1"/>
    <col min="13828" max="13828" width="0" style="77" hidden="1" customWidth="1"/>
    <col min="13829" max="14075" width="9.33203125" style="77"/>
    <col min="14076" max="14076" width="3.44140625" style="77" customWidth="1"/>
    <col min="14077" max="14077" width="5.6640625" style="77" bestFit="1" customWidth="1"/>
    <col min="14078" max="14078" width="61.33203125" style="77" bestFit="1" customWidth="1"/>
    <col min="14079" max="14082" width="0" style="77" hidden="1" customWidth="1"/>
    <col min="14083" max="14083" width="9.6640625" style="77" bestFit="1" customWidth="1"/>
    <col min="14084" max="14084" width="0" style="77" hidden="1" customWidth="1"/>
    <col min="14085" max="14331" width="9.33203125" style="77"/>
    <col min="14332" max="14332" width="3.44140625" style="77" customWidth="1"/>
    <col min="14333" max="14333" width="5.6640625" style="77" bestFit="1" customWidth="1"/>
    <col min="14334" max="14334" width="61.33203125" style="77" bestFit="1" customWidth="1"/>
    <col min="14335" max="14338" width="0" style="77" hidden="1" customWidth="1"/>
    <col min="14339" max="14339" width="9.6640625" style="77" bestFit="1" customWidth="1"/>
    <col min="14340" max="14340" width="0" style="77" hidden="1" customWidth="1"/>
    <col min="14341" max="14587" width="9.33203125" style="77"/>
    <col min="14588" max="14588" width="3.44140625" style="77" customWidth="1"/>
    <col min="14589" max="14589" width="5.6640625" style="77" bestFit="1" customWidth="1"/>
    <col min="14590" max="14590" width="61.33203125" style="77" bestFit="1" customWidth="1"/>
    <col min="14591" max="14594" width="0" style="77" hidden="1" customWidth="1"/>
    <col min="14595" max="14595" width="9.6640625" style="77" bestFit="1" customWidth="1"/>
    <col min="14596" max="14596" width="0" style="77" hidden="1" customWidth="1"/>
    <col min="14597" max="14843" width="9.33203125" style="77"/>
    <col min="14844" max="14844" width="3.44140625" style="77" customWidth="1"/>
    <col min="14845" max="14845" width="5.6640625" style="77" bestFit="1" customWidth="1"/>
    <col min="14846" max="14846" width="61.33203125" style="77" bestFit="1" customWidth="1"/>
    <col min="14847" max="14850" width="0" style="77" hidden="1" customWidth="1"/>
    <col min="14851" max="14851" width="9.6640625" style="77" bestFit="1" customWidth="1"/>
    <col min="14852" max="14852" width="0" style="77" hidden="1" customWidth="1"/>
    <col min="14853" max="15099" width="9.33203125" style="77"/>
    <col min="15100" max="15100" width="3.44140625" style="77" customWidth="1"/>
    <col min="15101" max="15101" width="5.6640625" style="77" bestFit="1" customWidth="1"/>
    <col min="15102" max="15102" width="61.33203125" style="77" bestFit="1" customWidth="1"/>
    <col min="15103" max="15106" width="0" style="77" hidden="1" customWidth="1"/>
    <col min="15107" max="15107" width="9.6640625" style="77" bestFit="1" customWidth="1"/>
    <col min="15108" max="15108" width="0" style="77" hidden="1" customWidth="1"/>
    <col min="15109" max="15355" width="9.33203125" style="77"/>
    <col min="15356" max="15356" width="3.44140625" style="77" customWidth="1"/>
    <col min="15357" max="15357" width="5.6640625" style="77" bestFit="1" customWidth="1"/>
    <col min="15358" max="15358" width="61.33203125" style="77" bestFit="1" customWidth="1"/>
    <col min="15359" max="15362" width="0" style="77" hidden="1" customWidth="1"/>
    <col min="15363" max="15363" width="9.6640625" style="77" bestFit="1" customWidth="1"/>
    <col min="15364" max="15364" width="0" style="77" hidden="1" customWidth="1"/>
    <col min="15365" max="15611" width="9.33203125" style="77"/>
    <col min="15612" max="15612" width="3.44140625" style="77" customWidth="1"/>
    <col min="15613" max="15613" width="5.6640625" style="77" bestFit="1" customWidth="1"/>
    <col min="15614" max="15614" width="61.33203125" style="77" bestFit="1" customWidth="1"/>
    <col min="15615" max="15618" width="0" style="77" hidden="1" customWidth="1"/>
    <col min="15619" max="15619" width="9.6640625" style="77" bestFit="1" customWidth="1"/>
    <col min="15620" max="15620" width="0" style="77" hidden="1" customWidth="1"/>
    <col min="15621" max="15867" width="9.33203125" style="77"/>
    <col min="15868" max="15868" width="3.44140625" style="77" customWidth="1"/>
    <col min="15869" max="15869" width="5.6640625" style="77" bestFit="1" customWidth="1"/>
    <col min="15870" max="15870" width="61.33203125" style="77" bestFit="1" customWidth="1"/>
    <col min="15871" max="15874" width="0" style="77" hidden="1" customWidth="1"/>
    <col min="15875" max="15875" width="9.6640625" style="77" bestFit="1" customWidth="1"/>
    <col min="15876" max="15876" width="0" style="77" hidden="1" customWidth="1"/>
    <col min="15877" max="16123" width="9.33203125" style="77"/>
    <col min="16124" max="16124" width="3.44140625" style="77" customWidth="1"/>
    <col min="16125" max="16125" width="5.6640625" style="77" bestFit="1" customWidth="1"/>
    <col min="16126" max="16126" width="61.33203125" style="77" bestFit="1" customWidth="1"/>
    <col min="16127" max="16130" width="0" style="77" hidden="1" customWidth="1"/>
    <col min="16131" max="16131" width="9.6640625" style="77" bestFit="1" customWidth="1"/>
    <col min="16132" max="16132" width="0" style="77" hidden="1" customWidth="1"/>
    <col min="16133" max="16384" width="9.33203125" style="77"/>
  </cols>
  <sheetData>
    <row r="2" spans="2:4" x14ac:dyDescent="0.3">
      <c r="B2" s="613" t="s">
        <v>524</v>
      </c>
      <c r="C2" s="613"/>
      <c r="D2" s="613"/>
    </row>
    <row r="3" spans="2:4" x14ac:dyDescent="0.3">
      <c r="B3" s="613" t="s">
        <v>525</v>
      </c>
      <c r="C3" s="613"/>
      <c r="D3" s="613"/>
    </row>
    <row r="4" spans="2:4" x14ac:dyDescent="0.3">
      <c r="B4" s="613" t="str">
        <f>'F6 (2)'!B4:D4</f>
        <v>CHHATTISGARH STATE POWER TRANSMISSION COMPANY LIMITED</v>
      </c>
      <c r="C4" s="613"/>
      <c r="D4" s="613"/>
    </row>
    <row r="5" spans="2:4" x14ac:dyDescent="0.3">
      <c r="B5" s="78"/>
      <c r="C5" s="78" t="s">
        <v>2</v>
      </c>
      <c r="D5" s="195" t="s">
        <v>25</v>
      </c>
    </row>
    <row r="6" spans="2:4" s="83" customFormat="1" x14ac:dyDescent="0.3">
      <c r="B6" s="80"/>
      <c r="C6" s="81"/>
      <c r="D6" s="82"/>
    </row>
    <row r="7" spans="2:4" x14ac:dyDescent="0.3">
      <c r="B7" s="84"/>
      <c r="C7" s="105" t="s">
        <v>526</v>
      </c>
      <c r="D7" s="85"/>
    </row>
    <row r="8" spans="2:4" x14ac:dyDescent="0.3">
      <c r="B8" s="84"/>
      <c r="C8" s="105" t="s">
        <v>527</v>
      </c>
      <c r="D8" s="86"/>
    </row>
    <row r="9" spans="2:4" x14ac:dyDescent="0.3">
      <c r="B9" s="84"/>
      <c r="C9" s="105" t="s">
        <v>528</v>
      </c>
      <c r="D9" s="194" t="e">
        <f>#REF!/10^7</f>
        <v>#REF!</v>
      </c>
    </row>
    <row r="10" spans="2:4" x14ac:dyDescent="0.3">
      <c r="B10" s="84"/>
      <c r="C10" s="105" t="s">
        <v>529</v>
      </c>
      <c r="D10" s="86"/>
    </row>
    <row r="11" spans="2:4" x14ac:dyDescent="0.3">
      <c r="B11" s="84"/>
      <c r="C11" s="106" t="s">
        <v>530</v>
      </c>
      <c r="D11" s="87"/>
    </row>
    <row r="12" spans="2:4" x14ac:dyDescent="0.3">
      <c r="B12" s="84"/>
      <c r="C12" s="106" t="s">
        <v>531</v>
      </c>
      <c r="D12" s="86"/>
    </row>
    <row r="13" spans="2:4" x14ac:dyDescent="0.3">
      <c r="B13" s="84"/>
      <c r="C13" s="106" t="s">
        <v>532</v>
      </c>
      <c r="D13" s="86"/>
    </row>
    <row r="14" spans="2:4" x14ac:dyDescent="0.3">
      <c r="B14" s="84"/>
      <c r="C14" s="106" t="s">
        <v>533</v>
      </c>
      <c r="D14" s="86" t="e">
        <f>#REF!/10^7</f>
        <v>#REF!</v>
      </c>
    </row>
    <row r="15" spans="2:4" x14ac:dyDescent="0.3">
      <c r="B15" s="84"/>
      <c r="C15" s="106"/>
      <c r="D15" s="86"/>
    </row>
    <row r="16" spans="2:4" x14ac:dyDescent="0.3">
      <c r="B16" s="84"/>
      <c r="C16" s="105" t="s">
        <v>534</v>
      </c>
      <c r="D16" s="89" t="e">
        <f>SUM(D7:D14)</f>
        <v>#REF!</v>
      </c>
    </row>
    <row r="17" spans="2:4" x14ac:dyDescent="0.3">
      <c r="B17" s="84"/>
      <c r="C17" s="105" t="s">
        <v>529</v>
      </c>
      <c r="D17" s="87"/>
    </row>
    <row r="18" spans="2:4" s="90" customFormat="1" x14ac:dyDescent="0.3">
      <c r="B18" s="88"/>
      <c r="C18" s="106" t="s">
        <v>535</v>
      </c>
      <c r="D18" s="89"/>
    </row>
    <row r="19" spans="2:4" x14ac:dyDescent="0.3">
      <c r="B19" s="84"/>
      <c r="C19" s="106" t="s">
        <v>536</v>
      </c>
      <c r="D19" s="86"/>
    </row>
    <row r="20" spans="2:4" x14ac:dyDescent="0.3">
      <c r="B20" s="84"/>
      <c r="C20" s="106" t="s">
        <v>537</v>
      </c>
      <c r="D20" s="87"/>
    </row>
    <row r="21" spans="2:4" x14ac:dyDescent="0.3">
      <c r="B21" s="84"/>
      <c r="C21" s="106" t="s">
        <v>538</v>
      </c>
      <c r="D21" s="87"/>
    </row>
    <row r="22" spans="2:4" x14ac:dyDescent="0.3">
      <c r="B22" s="84"/>
      <c r="C22" s="106" t="s">
        <v>539</v>
      </c>
      <c r="D22" s="87"/>
    </row>
    <row r="23" spans="2:4" x14ac:dyDescent="0.3">
      <c r="B23" s="84"/>
      <c r="C23" s="106" t="s">
        <v>540</v>
      </c>
      <c r="D23" s="87"/>
    </row>
    <row r="24" spans="2:4" x14ac:dyDescent="0.3">
      <c r="B24" s="84"/>
      <c r="C24" s="106" t="s">
        <v>541</v>
      </c>
      <c r="D24" s="87"/>
    </row>
    <row r="25" spans="2:4" x14ac:dyDescent="0.3">
      <c r="B25" s="84"/>
      <c r="C25" s="106" t="s">
        <v>542</v>
      </c>
      <c r="D25" s="87" t="e">
        <f>#REF!/10^7</f>
        <v>#REF!</v>
      </c>
    </row>
    <row r="26" spans="2:4" x14ac:dyDescent="0.3">
      <c r="B26" s="88"/>
      <c r="C26" s="106"/>
      <c r="D26" s="89"/>
    </row>
    <row r="27" spans="2:4" x14ac:dyDescent="0.3">
      <c r="B27" s="84"/>
      <c r="C27" s="105" t="s">
        <v>543</v>
      </c>
      <c r="D27" s="89" t="e">
        <f>D16+D25</f>
        <v>#REF!</v>
      </c>
    </row>
    <row r="28" spans="2:4" ht="12.75" customHeight="1" x14ac:dyDescent="0.3">
      <c r="B28" s="84"/>
      <c r="C28" s="106" t="s">
        <v>544</v>
      </c>
      <c r="D28" s="87"/>
    </row>
    <row r="29" spans="2:4" x14ac:dyDescent="0.3">
      <c r="B29" s="84"/>
      <c r="C29" s="105" t="s">
        <v>545</v>
      </c>
      <c r="D29" s="89" t="e">
        <f>D27</f>
        <v>#REF!</v>
      </c>
    </row>
    <row r="30" spans="2:4" x14ac:dyDescent="0.3">
      <c r="B30" s="84"/>
      <c r="C30" s="106" t="s">
        <v>546</v>
      </c>
      <c r="D30" s="87" t="e">
        <f>#REF!/10^7</f>
        <v>#REF!</v>
      </c>
    </row>
    <row r="31" spans="2:4" x14ac:dyDescent="0.3">
      <c r="B31" s="84"/>
      <c r="C31" s="105" t="s">
        <v>547</v>
      </c>
      <c r="D31" s="89" t="e">
        <f>D29+D30</f>
        <v>#REF!</v>
      </c>
    </row>
    <row r="32" spans="2:4" x14ac:dyDescent="0.3">
      <c r="B32" s="84"/>
      <c r="C32" s="106" t="s">
        <v>548</v>
      </c>
      <c r="D32" s="87" t="e">
        <f>#REF!/10^7</f>
        <v>#REF!</v>
      </c>
    </row>
    <row r="33" spans="2:4" x14ac:dyDescent="0.3">
      <c r="B33" s="84"/>
      <c r="C33" s="105" t="s">
        <v>549</v>
      </c>
      <c r="D33" s="89" t="e">
        <f>D31+D32</f>
        <v>#REF!</v>
      </c>
    </row>
    <row r="34" spans="2:4" x14ac:dyDescent="0.3">
      <c r="B34" s="84"/>
      <c r="C34" s="105" t="s">
        <v>529</v>
      </c>
      <c r="D34" s="87"/>
    </row>
    <row r="35" spans="2:4" x14ac:dyDescent="0.3">
      <c r="B35" s="84"/>
      <c r="C35" s="106" t="s">
        <v>550</v>
      </c>
      <c r="D35" s="87"/>
    </row>
    <row r="36" spans="2:4" x14ac:dyDescent="0.3">
      <c r="B36" s="84"/>
      <c r="C36" s="106" t="s">
        <v>551</v>
      </c>
      <c r="D36" s="87"/>
    </row>
    <row r="37" spans="2:4" x14ac:dyDescent="0.3">
      <c r="B37" s="84"/>
      <c r="C37" s="106" t="s">
        <v>552</v>
      </c>
      <c r="D37" s="87"/>
    </row>
    <row r="38" spans="2:4" x14ac:dyDescent="0.3">
      <c r="B38" s="84"/>
      <c r="C38" s="106" t="s">
        <v>553</v>
      </c>
      <c r="D38" s="87" t="e">
        <f>#REF!/10^7</f>
        <v>#REF!</v>
      </c>
    </row>
    <row r="39" spans="2:4" x14ac:dyDescent="0.3">
      <c r="B39" s="84"/>
      <c r="C39" s="106"/>
      <c r="D39" s="87"/>
    </row>
    <row r="40" spans="2:4" ht="27.75" customHeight="1" x14ac:dyDescent="0.3">
      <c r="B40" s="614"/>
      <c r="C40" s="615" t="s">
        <v>554</v>
      </c>
      <c r="D40" s="616" t="e">
        <f>D33+D38</f>
        <v>#REF!</v>
      </c>
    </row>
    <row r="41" spans="2:4" x14ac:dyDescent="0.3">
      <c r="B41" s="614"/>
      <c r="C41" s="615"/>
      <c r="D41" s="616"/>
    </row>
    <row r="42" spans="2:4" x14ac:dyDescent="0.3">
      <c r="B42" s="84"/>
      <c r="C42" s="106"/>
      <c r="D42" s="87"/>
    </row>
    <row r="43" spans="2:4" x14ac:dyDescent="0.3">
      <c r="B43" s="84"/>
      <c r="C43" s="105" t="s">
        <v>555</v>
      </c>
      <c r="D43" s="87"/>
    </row>
    <row r="44" spans="2:4" x14ac:dyDescent="0.3">
      <c r="B44" s="84"/>
      <c r="C44" s="105" t="s">
        <v>556</v>
      </c>
      <c r="D44" s="87"/>
    </row>
    <row r="45" spans="2:4" x14ac:dyDescent="0.3">
      <c r="B45" s="84"/>
      <c r="C45" s="106" t="s">
        <v>531</v>
      </c>
      <c r="D45" s="87" t="e">
        <f>#REF!/10^7</f>
        <v>#REF!</v>
      </c>
    </row>
    <row r="46" spans="2:4" x14ac:dyDescent="0.3">
      <c r="B46" s="84"/>
      <c r="C46" s="105"/>
      <c r="D46" s="87"/>
    </row>
    <row r="47" spans="2:4" x14ac:dyDescent="0.3">
      <c r="B47" s="84"/>
      <c r="C47" s="105" t="s">
        <v>557</v>
      </c>
      <c r="D47" s="87"/>
    </row>
    <row r="48" spans="2:4" x14ac:dyDescent="0.3">
      <c r="B48" s="84"/>
      <c r="C48" s="106" t="s">
        <v>558</v>
      </c>
      <c r="D48" s="87"/>
    </row>
    <row r="49" spans="2:4" x14ac:dyDescent="0.3">
      <c r="B49" s="84"/>
      <c r="C49" s="106" t="s">
        <v>559</v>
      </c>
      <c r="D49" s="87"/>
    </row>
    <row r="50" spans="2:4" x14ac:dyDescent="0.3">
      <c r="B50" s="84"/>
      <c r="C50" s="106" t="s">
        <v>560</v>
      </c>
      <c r="D50" s="87"/>
    </row>
    <row r="51" spans="2:4" x14ac:dyDescent="0.3">
      <c r="B51" s="84"/>
      <c r="C51" s="106" t="s">
        <v>561</v>
      </c>
      <c r="D51" s="87" t="e">
        <f>#REF!/10^7</f>
        <v>#REF!</v>
      </c>
    </row>
    <row r="52" spans="2:4" x14ac:dyDescent="0.3">
      <c r="B52" s="84"/>
      <c r="C52" s="106"/>
      <c r="D52" s="87"/>
    </row>
    <row r="53" spans="2:4" x14ac:dyDescent="0.3">
      <c r="B53" s="84"/>
      <c r="C53" s="105" t="s">
        <v>562</v>
      </c>
      <c r="D53" s="89" t="e">
        <f>SUM(D43:D51)</f>
        <v>#REF!</v>
      </c>
    </row>
    <row r="54" spans="2:4" x14ac:dyDescent="0.3">
      <c r="B54" s="84"/>
      <c r="C54" s="106"/>
      <c r="D54" s="87"/>
    </row>
    <row r="55" spans="2:4" x14ac:dyDescent="0.3">
      <c r="B55" s="84"/>
      <c r="C55" s="105" t="s">
        <v>563</v>
      </c>
      <c r="D55" s="87"/>
    </row>
    <row r="56" spans="2:4" x14ac:dyDescent="0.3">
      <c r="B56" s="84"/>
      <c r="C56" s="105" t="s">
        <v>564</v>
      </c>
      <c r="D56" s="87"/>
    </row>
    <row r="57" spans="2:4" x14ac:dyDescent="0.3">
      <c r="B57" s="84"/>
      <c r="C57" s="106" t="s">
        <v>565</v>
      </c>
      <c r="D57" s="87"/>
    </row>
    <row r="58" spans="2:4" x14ac:dyDescent="0.3">
      <c r="B58" s="84"/>
      <c r="C58" s="106" t="s">
        <v>566</v>
      </c>
      <c r="D58" s="87"/>
    </row>
    <row r="59" spans="2:4" x14ac:dyDescent="0.3">
      <c r="B59" s="84"/>
      <c r="C59" s="106" t="s">
        <v>567</v>
      </c>
      <c r="D59" s="87" t="e">
        <f>#REF!/10^7</f>
        <v>#REF!</v>
      </c>
    </row>
    <row r="60" spans="2:4" x14ac:dyDescent="0.3">
      <c r="B60" s="84"/>
      <c r="C60" s="106"/>
      <c r="D60" s="87"/>
    </row>
    <row r="61" spans="2:4" x14ac:dyDescent="0.3">
      <c r="B61" s="84"/>
      <c r="C61" s="105" t="s">
        <v>568</v>
      </c>
      <c r="D61" s="87"/>
    </row>
    <row r="62" spans="2:4" x14ac:dyDescent="0.3">
      <c r="B62" s="84"/>
      <c r="C62" s="106" t="s">
        <v>569</v>
      </c>
      <c r="D62" s="87" t="e">
        <f>#REF!/10^7</f>
        <v>#REF!</v>
      </c>
    </row>
    <row r="63" spans="2:4" x14ac:dyDescent="0.3">
      <c r="B63" s="84"/>
      <c r="C63" s="106"/>
      <c r="D63" s="87"/>
    </row>
    <row r="64" spans="2:4" x14ac:dyDescent="0.3">
      <c r="B64" s="84"/>
      <c r="C64" s="105" t="s">
        <v>570</v>
      </c>
      <c r="D64" s="89" t="e">
        <f>SUM(D59:D62)</f>
        <v>#REF!</v>
      </c>
    </row>
    <row r="65" spans="2:4" x14ac:dyDescent="0.3">
      <c r="B65" s="84"/>
      <c r="C65" s="106"/>
      <c r="D65" s="87"/>
    </row>
    <row r="66" spans="2:4" x14ac:dyDescent="0.3">
      <c r="B66" s="84"/>
      <c r="C66" s="105" t="s">
        <v>571</v>
      </c>
      <c r="D66" s="89" t="e">
        <f>D40+D53+D64</f>
        <v>#REF!</v>
      </c>
    </row>
    <row r="67" spans="2:4" x14ac:dyDescent="0.3">
      <c r="B67" s="84"/>
      <c r="C67" s="105"/>
      <c r="D67" s="87"/>
    </row>
    <row r="68" spans="2:4" x14ac:dyDescent="0.3">
      <c r="B68" s="84"/>
      <c r="C68" s="105" t="s">
        <v>572</v>
      </c>
      <c r="D68" s="89" t="e">
        <f>#REF!/10^7</f>
        <v>#REF!</v>
      </c>
    </row>
    <row r="69" spans="2:4" x14ac:dyDescent="0.3">
      <c r="B69" s="84"/>
      <c r="C69" s="106"/>
      <c r="D69" s="87"/>
    </row>
    <row r="70" spans="2:4" x14ac:dyDescent="0.3">
      <c r="B70" s="84"/>
      <c r="C70" s="105" t="s">
        <v>573</v>
      </c>
      <c r="D70" s="89" t="e">
        <f>D68+D66</f>
        <v>#REF!</v>
      </c>
    </row>
  </sheetData>
  <mergeCells count="6">
    <mergeCell ref="B2:D2"/>
    <mergeCell ref="B3:D3"/>
    <mergeCell ref="B4:D4"/>
    <mergeCell ref="B40:B41"/>
    <mergeCell ref="C40:C41"/>
    <mergeCell ref="D40:D41"/>
  </mergeCells>
  <pageMargins left="0.7" right="0.7" top="0.75" bottom="0.75" header="0.3" footer="0.3"/>
  <pageSetup scale="58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B2:F28"/>
  <sheetViews>
    <sheetView showGridLines="0" zoomScaleNormal="100" zoomScaleSheetLayoutView="90" workbookViewId="0">
      <selection activeCell="D1" sqref="D1:D1048576"/>
    </sheetView>
  </sheetViews>
  <sheetFormatPr defaultRowHeight="13.8" x14ac:dyDescent="0.3"/>
  <cols>
    <col min="1" max="1" width="3.44140625" style="77" customWidth="1"/>
    <col min="2" max="2" width="5.6640625" style="92" bestFit="1" customWidth="1"/>
    <col min="3" max="3" width="40.109375" style="77" customWidth="1"/>
    <col min="4" max="4" width="9.6640625" style="77" hidden="1" customWidth="1"/>
    <col min="5" max="5" width="10.88671875" style="77" customWidth="1"/>
    <col min="6" max="6" width="11.44140625" style="77" bestFit="1" customWidth="1"/>
    <col min="7" max="246" width="9.33203125" style="77"/>
    <col min="247" max="247" width="3.44140625" style="77" customWidth="1"/>
    <col min="248" max="248" width="5.6640625" style="77" bestFit="1" customWidth="1"/>
    <col min="249" max="249" width="36" style="77" customWidth="1"/>
    <col min="250" max="253" width="0" style="77" hidden="1" customWidth="1"/>
    <col min="254" max="254" width="9.6640625" style="77" bestFit="1" customWidth="1"/>
    <col min="255" max="255" width="0" style="77" hidden="1" customWidth="1"/>
    <col min="256" max="260" width="9.6640625" style="77" bestFit="1" customWidth="1"/>
    <col min="261" max="502" width="9.33203125" style="77"/>
    <col min="503" max="503" width="3.44140625" style="77" customWidth="1"/>
    <col min="504" max="504" width="5.6640625" style="77" bestFit="1" customWidth="1"/>
    <col min="505" max="505" width="36" style="77" customWidth="1"/>
    <col min="506" max="509" width="0" style="77" hidden="1" customWidth="1"/>
    <col min="510" max="510" width="9.6640625" style="77" bestFit="1" customWidth="1"/>
    <col min="511" max="511" width="0" style="77" hidden="1" customWidth="1"/>
    <col min="512" max="516" width="9.6640625" style="77" bestFit="1" customWidth="1"/>
    <col min="517" max="758" width="9.33203125" style="77"/>
    <col min="759" max="759" width="3.44140625" style="77" customWidth="1"/>
    <col min="760" max="760" width="5.6640625" style="77" bestFit="1" customWidth="1"/>
    <col min="761" max="761" width="36" style="77" customWidth="1"/>
    <col min="762" max="765" width="0" style="77" hidden="1" customWidth="1"/>
    <col min="766" max="766" width="9.6640625" style="77" bestFit="1" customWidth="1"/>
    <col min="767" max="767" width="0" style="77" hidden="1" customWidth="1"/>
    <col min="768" max="772" width="9.6640625" style="77" bestFit="1" customWidth="1"/>
    <col min="773" max="1014" width="9.33203125" style="77"/>
    <col min="1015" max="1015" width="3.44140625" style="77" customWidth="1"/>
    <col min="1016" max="1016" width="5.6640625" style="77" bestFit="1" customWidth="1"/>
    <col min="1017" max="1017" width="36" style="77" customWidth="1"/>
    <col min="1018" max="1021" width="0" style="77" hidden="1" customWidth="1"/>
    <col min="1022" max="1022" width="9.6640625" style="77" bestFit="1" customWidth="1"/>
    <col min="1023" max="1023" width="0" style="77" hidden="1" customWidth="1"/>
    <col min="1024" max="1028" width="9.6640625" style="77" bestFit="1" customWidth="1"/>
    <col min="1029" max="1270" width="9.33203125" style="77"/>
    <col min="1271" max="1271" width="3.44140625" style="77" customWidth="1"/>
    <col min="1272" max="1272" width="5.6640625" style="77" bestFit="1" customWidth="1"/>
    <col min="1273" max="1273" width="36" style="77" customWidth="1"/>
    <col min="1274" max="1277" width="0" style="77" hidden="1" customWidth="1"/>
    <col min="1278" max="1278" width="9.6640625" style="77" bestFit="1" customWidth="1"/>
    <col min="1279" max="1279" width="0" style="77" hidden="1" customWidth="1"/>
    <col min="1280" max="1284" width="9.6640625" style="77" bestFit="1" customWidth="1"/>
    <col min="1285" max="1526" width="9.33203125" style="77"/>
    <col min="1527" max="1527" width="3.44140625" style="77" customWidth="1"/>
    <col min="1528" max="1528" width="5.6640625" style="77" bestFit="1" customWidth="1"/>
    <col min="1529" max="1529" width="36" style="77" customWidth="1"/>
    <col min="1530" max="1533" width="0" style="77" hidden="1" customWidth="1"/>
    <col min="1534" max="1534" width="9.6640625" style="77" bestFit="1" customWidth="1"/>
    <col min="1535" max="1535" width="0" style="77" hidden="1" customWidth="1"/>
    <col min="1536" max="1540" width="9.6640625" style="77" bestFit="1" customWidth="1"/>
    <col min="1541" max="1782" width="9.33203125" style="77"/>
    <col min="1783" max="1783" width="3.44140625" style="77" customWidth="1"/>
    <col min="1784" max="1784" width="5.6640625" style="77" bestFit="1" customWidth="1"/>
    <col min="1785" max="1785" width="36" style="77" customWidth="1"/>
    <col min="1786" max="1789" width="0" style="77" hidden="1" customWidth="1"/>
    <col min="1790" max="1790" width="9.6640625" style="77" bestFit="1" customWidth="1"/>
    <col min="1791" max="1791" width="0" style="77" hidden="1" customWidth="1"/>
    <col min="1792" max="1796" width="9.6640625" style="77" bestFit="1" customWidth="1"/>
    <col min="1797" max="2038" width="9.33203125" style="77"/>
    <col min="2039" max="2039" width="3.44140625" style="77" customWidth="1"/>
    <col min="2040" max="2040" width="5.6640625" style="77" bestFit="1" customWidth="1"/>
    <col min="2041" max="2041" width="36" style="77" customWidth="1"/>
    <col min="2042" max="2045" width="0" style="77" hidden="1" customWidth="1"/>
    <col min="2046" max="2046" width="9.6640625" style="77" bestFit="1" customWidth="1"/>
    <col min="2047" max="2047" width="0" style="77" hidden="1" customWidth="1"/>
    <col min="2048" max="2052" width="9.6640625" style="77" bestFit="1" customWidth="1"/>
    <col min="2053" max="2294" width="9.33203125" style="77"/>
    <col min="2295" max="2295" width="3.44140625" style="77" customWidth="1"/>
    <col min="2296" max="2296" width="5.6640625" style="77" bestFit="1" customWidth="1"/>
    <col min="2297" max="2297" width="36" style="77" customWidth="1"/>
    <col min="2298" max="2301" width="0" style="77" hidden="1" customWidth="1"/>
    <col min="2302" max="2302" width="9.6640625" style="77" bestFit="1" customWidth="1"/>
    <col min="2303" max="2303" width="0" style="77" hidden="1" customWidth="1"/>
    <col min="2304" max="2308" width="9.6640625" style="77" bestFit="1" customWidth="1"/>
    <col min="2309" max="2550" width="9.33203125" style="77"/>
    <col min="2551" max="2551" width="3.44140625" style="77" customWidth="1"/>
    <col min="2552" max="2552" width="5.6640625" style="77" bestFit="1" customWidth="1"/>
    <col min="2553" max="2553" width="36" style="77" customWidth="1"/>
    <col min="2554" max="2557" width="0" style="77" hidden="1" customWidth="1"/>
    <col min="2558" max="2558" width="9.6640625" style="77" bestFit="1" customWidth="1"/>
    <col min="2559" max="2559" width="0" style="77" hidden="1" customWidth="1"/>
    <col min="2560" max="2564" width="9.6640625" style="77" bestFit="1" customWidth="1"/>
    <col min="2565" max="2806" width="9.33203125" style="77"/>
    <col min="2807" max="2807" width="3.44140625" style="77" customWidth="1"/>
    <col min="2808" max="2808" width="5.6640625" style="77" bestFit="1" customWidth="1"/>
    <col min="2809" max="2809" width="36" style="77" customWidth="1"/>
    <col min="2810" max="2813" width="0" style="77" hidden="1" customWidth="1"/>
    <col min="2814" max="2814" width="9.6640625" style="77" bestFit="1" customWidth="1"/>
    <col min="2815" max="2815" width="0" style="77" hidden="1" customWidth="1"/>
    <col min="2816" max="2820" width="9.6640625" style="77" bestFit="1" customWidth="1"/>
    <col min="2821" max="3062" width="9.33203125" style="77"/>
    <col min="3063" max="3063" width="3.44140625" style="77" customWidth="1"/>
    <col min="3064" max="3064" width="5.6640625" style="77" bestFit="1" customWidth="1"/>
    <col min="3065" max="3065" width="36" style="77" customWidth="1"/>
    <col min="3066" max="3069" width="0" style="77" hidden="1" customWidth="1"/>
    <col min="3070" max="3070" width="9.6640625" style="77" bestFit="1" customWidth="1"/>
    <col min="3071" max="3071" width="0" style="77" hidden="1" customWidth="1"/>
    <col min="3072" max="3076" width="9.6640625" style="77" bestFit="1" customWidth="1"/>
    <col min="3077" max="3318" width="9.33203125" style="77"/>
    <col min="3319" max="3319" width="3.44140625" style="77" customWidth="1"/>
    <col min="3320" max="3320" width="5.6640625" style="77" bestFit="1" customWidth="1"/>
    <col min="3321" max="3321" width="36" style="77" customWidth="1"/>
    <col min="3322" max="3325" width="0" style="77" hidden="1" customWidth="1"/>
    <col min="3326" max="3326" width="9.6640625" style="77" bestFit="1" customWidth="1"/>
    <col min="3327" max="3327" width="0" style="77" hidden="1" customWidth="1"/>
    <col min="3328" max="3332" width="9.6640625" style="77" bestFit="1" customWidth="1"/>
    <col min="3333" max="3574" width="9.33203125" style="77"/>
    <col min="3575" max="3575" width="3.44140625" style="77" customWidth="1"/>
    <col min="3576" max="3576" width="5.6640625" style="77" bestFit="1" customWidth="1"/>
    <col min="3577" max="3577" width="36" style="77" customWidth="1"/>
    <col min="3578" max="3581" width="0" style="77" hidden="1" customWidth="1"/>
    <col min="3582" max="3582" width="9.6640625" style="77" bestFit="1" customWidth="1"/>
    <col min="3583" max="3583" width="0" style="77" hidden="1" customWidth="1"/>
    <col min="3584" max="3588" width="9.6640625" style="77" bestFit="1" customWidth="1"/>
    <col min="3589" max="3830" width="9.33203125" style="77"/>
    <col min="3831" max="3831" width="3.44140625" style="77" customWidth="1"/>
    <col min="3832" max="3832" width="5.6640625" style="77" bestFit="1" customWidth="1"/>
    <col min="3833" max="3833" width="36" style="77" customWidth="1"/>
    <col min="3834" max="3837" width="0" style="77" hidden="1" customWidth="1"/>
    <col min="3838" max="3838" width="9.6640625" style="77" bestFit="1" customWidth="1"/>
    <col min="3839" max="3839" width="0" style="77" hidden="1" customWidth="1"/>
    <col min="3840" max="3844" width="9.6640625" style="77" bestFit="1" customWidth="1"/>
    <col min="3845" max="4086" width="9.33203125" style="77"/>
    <col min="4087" max="4087" width="3.44140625" style="77" customWidth="1"/>
    <col min="4088" max="4088" width="5.6640625" style="77" bestFit="1" customWidth="1"/>
    <col min="4089" max="4089" width="36" style="77" customWidth="1"/>
    <col min="4090" max="4093" width="0" style="77" hidden="1" customWidth="1"/>
    <col min="4094" max="4094" width="9.6640625" style="77" bestFit="1" customWidth="1"/>
    <col min="4095" max="4095" width="0" style="77" hidden="1" customWidth="1"/>
    <col min="4096" max="4100" width="9.6640625" style="77" bestFit="1" customWidth="1"/>
    <col min="4101" max="4342" width="9.33203125" style="77"/>
    <col min="4343" max="4343" width="3.44140625" style="77" customWidth="1"/>
    <col min="4344" max="4344" width="5.6640625" style="77" bestFit="1" customWidth="1"/>
    <col min="4345" max="4345" width="36" style="77" customWidth="1"/>
    <col min="4346" max="4349" width="0" style="77" hidden="1" customWidth="1"/>
    <col min="4350" max="4350" width="9.6640625" style="77" bestFit="1" customWidth="1"/>
    <col min="4351" max="4351" width="0" style="77" hidden="1" customWidth="1"/>
    <col min="4352" max="4356" width="9.6640625" style="77" bestFit="1" customWidth="1"/>
    <col min="4357" max="4598" width="9.33203125" style="77"/>
    <col min="4599" max="4599" width="3.44140625" style="77" customWidth="1"/>
    <col min="4600" max="4600" width="5.6640625" style="77" bestFit="1" customWidth="1"/>
    <col min="4601" max="4601" width="36" style="77" customWidth="1"/>
    <col min="4602" max="4605" width="0" style="77" hidden="1" customWidth="1"/>
    <col min="4606" max="4606" width="9.6640625" style="77" bestFit="1" customWidth="1"/>
    <col min="4607" max="4607" width="0" style="77" hidden="1" customWidth="1"/>
    <col min="4608" max="4612" width="9.6640625" style="77" bestFit="1" customWidth="1"/>
    <col min="4613" max="4854" width="9.33203125" style="77"/>
    <col min="4855" max="4855" width="3.44140625" style="77" customWidth="1"/>
    <col min="4856" max="4856" width="5.6640625" style="77" bestFit="1" customWidth="1"/>
    <col min="4857" max="4857" width="36" style="77" customWidth="1"/>
    <col min="4858" max="4861" width="0" style="77" hidden="1" customWidth="1"/>
    <col min="4862" max="4862" width="9.6640625" style="77" bestFit="1" customWidth="1"/>
    <col min="4863" max="4863" width="0" style="77" hidden="1" customWidth="1"/>
    <col min="4864" max="4868" width="9.6640625" style="77" bestFit="1" customWidth="1"/>
    <col min="4869" max="5110" width="9.33203125" style="77"/>
    <col min="5111" max="5111" width="3.44140625" style="77" customWidth="1"/>
    <col min="5112" max="5112" width="5.6640625" style="77" bestFit="1" customWidth="1"/>
    <col min="5113" max="5113" width="36" style="77" customWidth="1"/>
    <col min="5114" max="5117" width="0" style="77" hidden="1" customWidth="1"/>
    <col min="5118" max="5118" width="9.6640625" style="77" bestFit="1" customWidth="1"/>
    <col min="5119" max="5119" width="0" style="77" hidden="1" customWidth="1"/>
    <col min="5120" max="5124" width="9.6640625" style="77" bestFit="1" customWidth="1"/>
    <col min="5125" max="5366" width="9.33203125" style="77"/>
    <col min="5367" max="5367" width="3.44140625" style="77" customWidth="1"/>
    <col min="5368" max="5368" width="5.6640625" style="77" bestFit="1" customWidth="1"/>
    <col min="5369" max="5369" width="36" style="77" customWidth="1"/>
    <col min="5370" max="5373" width="0" style="77" hidden="1" customWidth="1"/>
    <col min="5374" max="5374" width="9.6640625" style="77" bestFit="1" customWidth="1"/>
    <col min="5375" max="5375" width="0" style="77" hidden="1" customWidth="1"/>
    <col min="5376" max="5380" width="9.6640625" style="77" bestFit="1" customWidth="1"/>
    <col min="5381" max="5622" width="9.33203125" style="77"/>
    <col min="5623" max="5623" width="3.44140625" style="77" customWidth="1"/>
    <col min="5624" max="5624" width="5.6640625" style="77" bestFit="1" customWidth="1"/>
    <col min="5625" max="5625" width="36" style="77" customWidth="1"/>
    <col min="5626" max="5629" width="0" style="77" hidden="1" customWidth="1"/>
    <col min="5630" max="5630" width="9.6640625" style="77" bestFit="1" customWidth="1"/>
    <col min="5631" max="5631" width="0" style="77" hidden="1" customWidth="1"/>
    <col min="5632" max="5636" width="9.6640625" style="77" bestFit="1" customWidth="1"/>
    <col min="5637" max="5878" width="9.33203125" style="77"/>
    <col min="5879" max="5879" width="3.44140625" style="77" customWidth="1"/>
    <col min="5880" max="5880" width="5.6640625" style="77" bestFit="1" customWidth="1"/>
    <col min="5881" max="5881" width="36" style="77" customWidth="1"/>
    <col min="5882" max="5885" width="0" style="77" hidden="1" customWidth="1"/>
    <col min="5886" max="5886" width="9.6640625" style="77" bestFit="1" customWidth="1"/>
    <col min="5887" max="5887" width="0" style="77" hidden="1" customWidth="1"/>
    <col min="5888" max="5892" width="9.6640625" style="77" bestFit="1" customWidth="1"/>
    <col min="5893" max="6134" width="9.33203125" style="77"/>
    <col min="6135" max="6135" width="3.44140625" style="77" customWidth="1"/>
    <col min="6136" max="6136" width="5.6640625" style="77" bestFit="1" customWidth="1"/>
    <col min="6137" max="6137" width="36" style="77" customWidth="1"/>
    <col min="6138" max="6141" width="0" style="77" hidden="1" customWidth="1"/>
    <col min="6142" max="6142" width="9.6640625" style="77" bestFit="1" customWidth="1"/>
    <col min="6143" max="6143" width="0" style="77" hidden="1" customWidth="1"/>
    <col min="6144" max="6148" width="9.6640625" style="77" bestFit="1" customWidth="1"/>
    <col min="6149" max="6390" width="9.33203125" style="77"/>
    <col min="6391" max="6391" width="3.44140625" style="77" customWidth="1"/>
    <col min="6392" max="6392" width="5.6640625" style="77" bestFit="1" customWidth="1"/>
    <col min="6393" max="6393" width="36" style="77" customWidth="1"/>
    <col min="6394" max="6397" width="0" style="77" hidden="1" customWidth="1"/>
    <col min="6398" max="6398" width="9.6640625" style="77" bestFit="1" customWidth="1"/>
    <col min="6399" max="6399" width="0" style="77" hidden="1" customWidth="1"/>
    <col min="6400" max="6404" width="9.6640625" style="77" bestFit="1" customWidth="1"/>
    <col min="6405" max="6646" width="9.33203125" style="77"/>
    <col min="6647" max="6647" width="3.44140625" style="77" customWidth="1"/>
    <col min="6648" max="6648" width="5.6640625" style="77" bestFit="1" customWidth="1"/>
    <col min="6649" max="6649" width="36" style="77" customWidth="1"/>
    <col min="6650" max="6653" width="0" style="77" hidden="1" customWidth="1"/>
    <col min="6654" max="6654" width="9.6640625" style="77" bestFit="1" customWidth="1"/>
    <col min="6655" max="6655" width="0" style="77" hidden="1" customWidth="1"/>
    <col min="6656" max="6660" width="9.6640625" style="77" bestFit="1" customWidth="1"/>
    <col min="6661" max="6902" width="9.33203125" style="77"/>
    <col min="6903" max="6903" width="3.44140625" style="77" customWidth="1"/>
    <col min="6904" max="6904" width="5.6640625" style="77" bestFit="1" customWidth="1"/>
    <col min="6905" max="6905" width="36" style="77" customWidth="1"/>
    <col min="6906" max="6909" width="0" style="77" hidden="1" customWidth="1"/>
    <col min="6910" max="6910" width="9.6640625" style="77" bestFit="1" customWidth="1"/>
    <col min="6911" max="6911" width="0" style="77" hidden="1" customWidth="1"/>
    <col min="6912" max="6916" width="9.6640625" style="77" bestFit="1" customWidth="1"/>
    <col min="6917" max="7158" width="9.33203125" style="77"/>
    <col min="7159" max="7159" width="3.44140625" style="77" customWidth="1"/>
    <col min="7160" max="7160" width="5.6640625" style="77" bestFit="1" customWidth="1"/>
    <col min="7161" max="7161" width="36" style="77" customWidth="1"/>
    <col min="7162" max="7165" width="0" style="77" hidden="1" customWidth="1"/>
    <col min="7166" max="7166" width="9.6640625" style="77" bestFit="1" customWidth="1"/>
    <col min="7167" max="7167" width="0" style="77" hidden="1" customWidth="1"/>
    <col min="7168" max="7172" width="9.6640625" style="77" bestFit="1" customWidth="1"/>
    <col min="7173" max="7414" width="9.33203125" style="77"/>
    <col min="7415" max="7415" width="3.44140625" style="77" customWidth="1"/>
    <col min="7416" max="7416" width="5.6640625" style="77" bestFit="1" customWidth="1"/>
    <col min="7417" max="7417" width="36" style="77" customWidth="1"/>
    <col min="7418" max="7421" width="0" style="77" hidden="1" customWidth="1"/>
    <col min="7422" max="7422" width="9.6640625" style="77" bestFit="1" customWidth="1"/>
    <col min="7423" max="7423" width="0" style="77" hidden="1" customWidth="1"/>
    <col min="7424" max="7428" width="9.6640625" style="77" bestFit="1" customWidth="1"/>
    <col min="7429" max="7670" width="9.33203125" style="77"/>
    <col min="7671" max="7671" width="3.44140625" style="77" customWidth="1"/>
    <col min="7672" max="7672" width="5.6640625" style="77" bestFit="1" customWidth="1"/>
    <col min="7673" max="7673" width="36" style="77" customWidth="1"/>
    <col min="7674" max="7677" width="0" style="77" hidden="1" customWidth="1"/>
    <col min="7678" max="7678" width="9.6640625" style="77" bestFit="1" customWidth="1"/>
    <col min="7679" max="7679" width="0" style="77" hidden="1" customWidth="1"/>
    <col min="7680" max="7684" width="9.6640625" style="77" bestFit="1" customWidth="1"/>
    <col min="7685" max="7926" width="9.33203125" style="77"/>
    <col min="7927" max="7927" width="3.44140625" style="77" customWidth="1"/>
    <col min="7928" max="7928" width="5.6640625" style="77" bestFit="1" customWidth="1"/>
    <col min="7929" max="7929" width="36" style="77" customWidth="1"/>
    <col min="7930" max="7933" width="0" style="77" hidden="1" customWidth="1"/>
    <col min="7934" max="7934" width="9.6640625" style="77" bestFit="1" customWidth="1"/>
    <col min="7935" max="7935" width="0" style="77" hidden="1" customWidth="1"/>
    <col min="7936" max="7940" width="9.6640625" style="77" bestFit="1" customWidth="1"/>
    <col min="7941" max="8182" width="9.33203125" style="77"/>
    <col min="8183" max="8183" width="3.44140625" style="77" customWidth="1"/>
    <col min="8184" max="8184" width="5.6640625" style="77" bestFit="1" customWidth="1"/>
    <col min="8185" max="8185" width="36" style="77" customWidth="1"/>
    <col min="8186" max="8189" width="0" style="77" hidden="1" customWidth="1"/>
    <col min="8190" max="8190" width="9.6640625" style="77" bestFit="1" customWidth="1"/>
    <col min="8191" max="8191" width="0" style="77" hidden="1" customWidth="1"/>
    <col min="8192" max="8196" width="9.6640625" style="77" bestFit="1" customWidth="1"/>
    <col min="8197" max="8438" width="9.33203125" style="77"/>
    <col min="8439" max="8439" width="3.44140625" style="77" customWidth="1"/>
    <col min="8440" max="8440" width="5.6640625" style="77" bestFit="1" customWidth="1"/>
    <col min="8441" max="8441" width="36" style="77" customWidth="1"/>
    <col min="8442" max="8445" width="0" style="77" hidden="1" customWidth="1"/>
    <col min="8446" max="8446" width="9.6640625" style="77" bestFit="1" customWidth="1"/>
    <col min="8447" max="8447" width="0" style="77" hidden="1" customWidth="1"/>
    <col min="8448" max="8452" width="9.6640625" style="77" bestFit="1" customWidth="1"/>
    <col min="8453" max="8694" width="9.33203125" style="77"/>
    <col min="8695" max="8695" width="3.44140625" style="77" customWidth="1"/>
    <col min="8696" max="8696" width="5.6640625" style="77" bestFit="1" customWidth="1"/>
    <col min="8697" max="8697" width="36" style="77" customWidth="1"/>
    <col min="8698" max="8701" width="0" style="77" hidden="1" customWidth="1"/>
    <col min="8702" max="8702" width="9.6640625" style="77" bestFit="1" customWidth="1"/>
    <col min="8703" max="8703" width="0" style="77" hidden="1" customWidth="1"/>
    <col min="8704" max="8708" width="9.6640625" style="77" bestFit="1" customWidth="1"/>
    <col min="8709" max="8950" width="9.33203125" style="77"/>
    <col min="8951" max="8951" width="3.44140625" style="77" customWidth="1"/>
    <col min="8952" max="8952" width="5.6640625" style="77" bestFit="1" customWidth="1"/>
    <col min="8953" max="8953" width="36" style="77" customWidth="1"/>
    <col min="8954" max="8957" width="0" style="77" hidden="1" customWidth="1"/>
    <col min="8958" max="8958" width="9.6640625" style="77" bestFit="1" customWidth="1"/>
    <col min="8959" max="8959" width="0" style="77" hidden="1" customWidth="1"/>
    <col min="8960" max="8964" width="9.6640625" style="77" bestFit="1" customWidth="1"/>
    <col min="8965" max="9206" width="9.33203125" style="77"/>
    <col min="9207" max="9207" width="3.44140625" style="77" customWidth="1"/>
    <col min="9208" max="9208" width="5.6640625" style="77" bestFit="1" customWidth="1"/>
    <col min="9209" max="9209" width="36" style="77" customWidth="1"/>
    <col min="9210" max="9213" width="0" style="77" hidden="1" customWidth="1"/>
    <col min="9214" max="9214" width="9.6640625" style="77" bestFit="1" customWidth="1"/>
    <col min="9215" max="9215" width="0" style="77" hidden="1" customWidth="1"/>
    <col min="9216" max="9220" width="9.6640625" style="77" bestFit="1" customWidth="1"/>
    <col min="9221" max="9462" width="9.33203125" style="77"/>
    <col min="9463" max="9463" width="3.44140625" style="77" customWidth="1"/>
    <col min="9464" max="9464" width="5.6640625" style="77" bestFit="1" customWidth="1"/>
    <col min="9465" max="9465" width="36" style="77" customWidth="1"/>
    <col min="9466" max="9469" width="0" style="77" hidden="1" customWidth="1"/>
    <col min="9470" max="9470" width="9.6640625" style="77" bestFit="1" customWidth="1"/>
    <col min="9471" max="9471" width="0" style="77" hidden="1" customWidth="1"/>
    <col min="9472" max="9476" width="9.6640625" style="77" bestFit="1" customWidth="1"/>
    <col min="9477" max="9718" width="9.33203125" style="77"/>
    <col min="9719" max="9719" width="3.44140625" style="77" customWidth="1"/>
    <col min="9720" max="9720" width="5.6640625" style="77" bestFit="1" customWidth="1"/>
    <col min="9721" max="9721" width="36" style="77" customWidth="1"/>
    <col min="9722" max="9725" width="0" style="77" hidden="1" customWidth="1"/>
    <col min="9726" max="9726" width="9.6640625" style="77" bestFit="1" customWidth="1"/>
    <col min="9727" max="9727" width="0" style="77" hidden="1" customWidth="1"/>
    <col min="9728" max="9732" width="9.6640625" style="77" bestFit="1" customWidth="1"/>
    <col min="9733" max="9974" width="9.33203125" style="77"/>
    <col min="9975" max="9975" width="3.44140625" style="77" customWidth="1"/>
    <col min="9976" max="9976" width="5.6640625" style="77" bestFit="1" customWidth="1"/>
    <col min="9977" max="9977" width="36" style="77" customWidth="1"/>
    <col min="9978" max="9981" width="0" style="77" hidden="1" customWidth="1"/>
    <col min="9982" max="9982" width="9.6640625" style="77" bestFit="1" customWidth="1"/>
    <col min="9983" max="9983" width="0" style="77" hidden="1" customWidth="1"/>
    <col min="9984" max="9988" width="9.6640625" style="77" bestFit="1" customWidth="1"/>
    <col min="9989" max="10230" width="9.33203125" style="77"/>
    <col min="10231" max="10231" width="3.44140625" style="77" customWidth="1"/>
    <col min="10232" max="10232" width="5.6640625" style="77" bestFit="1" customWidth="1"/>
    <col min="10233" max="10233" width="36" style="77" customWidth="1"/>
    <col min="10234" max="10237" width="0" style="77" hidden="1" customWidth="1"/>
    <col min="10238" max="10238" width="9.6640625" style="77" bestFit="1" customWidth="1"/>
    <col min="10239" max="10239" width="0" style="77" hidden="1" customWidth="1"/>
    <col min="10240" max="10244" width="9.6640625" style="77" bestFit="1" customWidth="1"/>
    <col min="10245" max="10486" width="9.33203125" style="77"/>
    <col min="10487" max="10487" width="3.44140625" style="77" customWidth="1"/>
    <col min="10488" max="10488" width="5.6640625" style="77" bestFit="1" customWidth="1"/>
    <col min="10489" max="10489" width="36" style="77" customWidth="1"/>
    <col min="10490" max="10493" width="0" style="77" hidden="1" customWidth="1"/>
    <col min="10494" max="10494" width="9.6640625" style="77" bestFit="1" customWidth="1"/>
    <col min="10495" max="10495" width="0" style="77" hidden="1" customWidth="1"/>
    <col min="10496" max="10500" width="9.6640625" style="77" bestFit="1" customWidth="1"/>
    <col min="10501" max="10742" width="9.33203125" style="77"/>
    <col min="10743" max="10743" width="3.44140625" style="77" customWidth="1"/>
    <col min="10744" max="10744" width="5.6640625" style="77" bestFit="1" customWidth="1"/>
    <col min="10745" max="10745" width="36" style="77" customWidth="1"/>
    <col min="10746" max="10749" width="0" style="77" hidden="1" customWidth="1"/>
    <col min="10750" max="10750" width="9.6640625" style="77" bestFit="1" customWidth="1"/>
    <col min="10751" max="10751" width="0" style="77" hidden="1" customWidth="1"/>
    <col min="10752" max="10756" width="9.6640625" style="77" bestFit="1" customWidth="1"/>
    <col min="10757" max="10998" width="9.33203125" style="77"/>
    <col min="10999" max="10999" width="3.44140625" style="77" customWidth="1"/>
    <col min="11000" max="11000" width="5.6640625" style="77" bestFit="1" customWidth="1"/>
    <col min="11001" max="11001" width="36" style="77" customWidth="1"/>
    <col min="11002" max="11005" width="0" style="77" hidden="1" customWidth="1"/>
    <col min="11006" max="11006" width="9.6640625" style="77" bestFit="1" customWidth="1"/>
    <col min="11007" max="11007" width="0" style="77" hidden="1" customWidth="1"/>
    <col min="11008" max="11012" width="9.6640625" style="77" bestFit="1" customWidth="1"/>
    <col min="11013" max="11254" width="9.33203125" style="77"/>
    <col min="11255" max="11255" width="3.44140625" style="77" customWidth="1"/>
    <col min="11256" max="11256" width="5.6640625" style="77" bestFit="1" customWidth="1"/>
    <col min="11257" max="11257" width="36" style="77" customWidth="1"/>
    <col min="11258" max="11261" width="0" style="77" hidden="1" customWidth="1"/>
    <col min="11262" max="11262" width="9.6640625" style="77" bestFit="1" customWidth="1"/>
    <col min="11263" max="11263" width="0" style="77" hidden="1" customWidth="1"/>
    <col min="11264" max="11268" width="9.6640625" style="77" bestFit="1" customWidth="1"/>
    <col min="11269" max="11510" width="9.33203125" style="77"/>
    <col min="11511" max="11511" width="3.44140625" style="77" customWidth="1"/>
    <col min="11512" max="11512" width="5.6640625" style="77" bestFit="1" customWidth="1"/>
    <col min="11513" max="11513" width="36" style="77" customWidth="1"/>
    <col min="11514" max="11517" width="0" style="77" hidden="1" customWidth="1"/>
    <col min="11518" max="11518" width="9.6640625" style="77" bestFit="1" customWidth="1"/>
    <col min="11519" max="11519" width="0" style="77" hidden="1" customWidth="1"/>
    <col min="11520" max="11524" width="9.6640625" style="77" bestFit="1" customWidth="1"/>
    <col min="11525" max="11766" width="9.33203125" style="77"/>
    <col min="11767" max="11767" width="3.44140625" style="77" customWidth="1"/>
    <col min="11768" max="11768" width="5.6640625" style="77" bestFit="1" customWidth="1"/>
    <col min="11769" max="11769" width="36" style="77" customWidth="1"/>
    <col min="11770" max="11773" width="0" style="77" hidden="1" customWidth="1"/>
    <col min="11774" max="11774" width="9.6640625" style="77" bestFit="1" customWidth="1"/>
    <col min="11775" max="11775" width="0" style="77" hidden="1" customWidth="1"/>
    <col min="11776" max="11780" width="9.6640625" style="77" bestFit="1" customWidth="1"/>
    <col min="11781" max="12022" width="9.33203125" style="77"/>
    <col min="12023" max="12023" width="3.44140625" style="77" customWidth="1"/>
    <col min="12024" max="12024" width="5.6640625" style="77" bestFit="1" customWidth="1"/>
    <col min="12025" max="12025" width="36" style="77" customWidth="1"/>
    <col min="12026" max="12029" width="0" style="77" hidden="1" customWidth="1"/>
    <col min="12030" max="12030" width="9.6640625" style="77" bestFit="1" customWidth="1"/>
    <col min="12031" max="12031" width="0" style="77" hidden="1" customWidth="1"/>
    <col min="12032" max="12036" width="9.6640625" style="77" bestFit="1" customWidth="1"/>
    <col min="12037" max="12278" width="9.33203125" style="77"/>
    <col min="12279" max="12279" width="3.44140625" style="77" customWidth="1"/>
    <col min="12280" max="12280" width="5.6640625" style="77" bestFit="1" customWidth="1"/>
    <col min="12281" max="12281" width="36" style="77" customWidth="1"/>
    <col min="12282" max="12285" width="0" style="77" hidden="1" customWidth="1"/>
    <col min="12286" max="12286" width="9.6640625" style="77" bestFit="1" customWidth="1"/>
    <col min="12287" max="12287" width="0" style="77" hidden="1" customWidth="1"/>
    <col min="12288" max="12292" width="9.6640625" style="77" bestFit="1" customWidth="1"/>
    <col min="12293" max="12534" width="9.33203125" style="77"/>
    <col min="12535" max="12535" width="3.44140625" style="77" customWidth="1"/>
    <col min="12536" max="12536" width="5.6640625" style="77" bestFit="1" customWidth="1"/>
    <col min="12537" max="12537" width="36" style="77" customWidth="1"/>
    <col min="12538" max="12541" width="0" style="77" hidden="1" customWidth="1"/>
    <col min="12542" max="12542" width="9.6640625" style="77" bestFit="1" customWidth="1"/>
    <col min="12543" max="12543" width="0" style="77" hidden="1" customWidth="1"/>
    <col min="12544" max="12548" width="9.6640625" style="77" bestFit="1" customWidth="1"/>
    <col min="12549" max="12790" width="9.33203125" style="77"/>
    <col min="12791" max="12791" width="3.44140625" style="77" customWidth="1"/>
    <col min="12792" max="12792" width="5.6640625" style="77" bestFit="1" customWidth="1"/>
    <col min="12793" max="12793" width="36" style="77" customWidth="1"/>
    <col min="12794" max="12797" width="0" style="77" hidden="1" customWidth="1"/>
    <col min="12798" max="12798" width="9.6640625" style="77" bestFit="1" customWidth="1"/>
    <col min="12799" max="12799" width="0" style="77" hidden="1" customWidth="1"/>
    <col min="12800" max="12804" width="9.6640625" style="77" bestFit="1" customWidth="1"/>
    <col min="12805" max="13046" width="9.33203125" style="77"/>
    <col min="13047" max="13047" width="3.44140625" style="77" customWidth="1"/>
    <col min="13048" max="13048" width="5.6640625" style="77" bestFit="1" customWidth="1"/>
    <col min="13049" max="13049" width="36" style="77" customWidth="1"/>
    <col min="13050" max="13053" width="0" style="77" hidden="1" customWidth="1"/>
    <col min="13054" max="13054" width="9.6640625" style="77" bestFit="1" customWidth="1"/>
    <col min="13055" max="13055" width="0" style="77" hidden="1" customWidth="1"/>
    <col min="13056" max="13060" width="9.6640625" style="77" bestFit="1" customWidth="1"/>
    <col min="13061" max="13302" width="9.33203125" style="77"/>
    <col min="13303" max="13303" width="3.44140625" style="77" customWidth="1"/>
    <col min="13304" max="13304" width="5.6640625" style="77" bestFit="1" customWidth="1"/>
    <col min="13305" max="13305" width="36" style="77" customWidth="1"/>
    <col min="13306" max="13309" width="0" style="77" hidden="1" customWidth="1"/>
    <col min="13310" max="13310" width="9.6640625" style="77" bestFit="1" customWidth="1"/>
    <col min="13311" max="13311" width="0" style="77" hidden="1" customWidth="1"/>
    <col min="13312" max="13316" width="9.6640625" style="77" bestFit="1" customWidth="1"/>
    <col min="13317" max="13558" width="9.33203125" style="77"/>
    <col min="13559" max="13559" width="3.44140625" style="77" customWidth="1"/>
    <col min="13560" max="13560" width="5.6640625" style="77" bestFit="1" customWidth="1"/>
    <col min="13561" max="13561" width="36" style="77" customWidth="1"/>
    <col min="13562" max="13565" width="0" style="77" hidden="1" customWidth="1"/>
    <col min="13566" max="13566" width="9.6640625" style="77" bestFit="1" customWidth="1"/>
    <col min="13567" max="13567" width="0" style="77" hidden="1" customWidth="1"/>
    <col min="13568" max="13572" width="9.6640625" style="77" bestFit="1" customWidth="1"/>
    <col min="13573" max="13814" width="9.33203125" style="77"/>
    <col min="13815" max="13815" width="3.44140625" style="77" customWidth="1"/>
    <col min="13816" max="13816" width="5.6640625" style="77" bestFit="1" customWidth="1"/>
    <col min="13817" max="13817" width="36" style="77" customWidth="1"/>
    <col min="13818" max="13821" width="0" style="77" hidden="1" customWidth="1"/>
    <col min="13822" max="13822" width="9.6640625" style="77" bestFit="1" customWidth="1"/>
    <col min="13823" max="13823" width="0" style="77" hidden="1" customWidth="1"/>
    <col min="13824" max="13828" width="9.6640625" style="77" bestFit="1" customWidth="1"/>
    <col min="13829" max="14070" width="9.33203125" style="77"/>
    <col min="14071" max="14071" width="3.44140625" style="77" customWidth="1"/>
    <col min="14072" max="14072" width="5.6640625" style="77" bestFit="1" customWidth="1"/>
    <col min="14073" max="14073" width="36" style="77" customWidth="1"/>
    <col min="14074" max="14077" width="0" style="77" hidden="1" customWidth="1"/>
    <col min="14078" max="14078" width="9.6640625" style="77" bestFit="1" customWidth="1"/>
    <col min="14079" max="14079" width="0" style="77" hidden="1" customWidth="1"/>
    <col min="14080" max="14084" width="9.6640625" style="77" bestFit="1" customWidth="1"/>
    <col min="14085" max="14326" width="9.33203125" style="77"/>
    <col min="14327" max="14327" width="3.44140625" style="77" customWidth="1"/>
    <col min="14328" max="14328" width="5.6640625" style="77" bestFit="1" customWidth="1"/>
    <col min="14329" max="14329" width="36" style="77" customWidth="1"/>
    <col min="14330" max="14333" width="0" style="77" hidden="1" customWidth="1"/>
    <col min="14334" max="14334" width="9.6640625" style="77" bestFit="1" customWidth="1"/>
    <col min="14335" max="14335" width="0" style="77" hidden="1" customWidth="1"/>
    <col min="14336" max="14340" width="9.6640625" style="77" bestFit="1" customWidth="1"/>
    <col min="14341" max="14582" width="9.33203125" style="77"/>
    <col min="14583" max="14583" width="3.44140625" style="77" customWidth="1"/>
    <col min="14584" max="14584" width="5.6640625" style="77" bestFit="1" customWidth="1"/>
    <col min="14585" max="14585" width="36" style="77" customWidth="1"/>
    <col min="14586" max="14589" width="0" style="77" hidden="1" customWidth="1"/>
    <col min="14590" max="14590" width="9.6640625" style="77" bestFit="1" customWidth="1"/>
    <col min="14591" max="14591" width="0" style="77" hidden="1" customWidth="1"/>
    <col min="14592" max="14596" width="9.6640625" style="77" bestFit="1" customWidth="1"/>
    <col min="14597" max="14838" width="9.33203125" style="77"/>
    <col min="14839" max="14839" width="3.44140625" style="77" customWidth="1"/>
    <col min="14840" max="14840" width="5.6640625" style="77" bestFit="1" customWidth="1"/>
    <col min="14841" max="14841" width="36" style="77" customWidth="1"/>
    <col min="14842" max="14845" width="0" style="77" hidden="1" customWidth="1"/>
    <col min="14846" max="14846" width="9.6640625" style="77" bestFit="1" customWidth="1"/>
    <col min="14847" max="14847" width="0" style="77" hidden="1" customWidth="1"/>
    <col min="14848" max="14852" width="9.6640625" style="77" bestFit="1" customWidth="1"/>
    <col min="14853" max="15094" width="9.33203125" style="77"/>
    <col min="15095" max="15095" width="3.44140625" style="77" customWidth="1"/>
    <col min="15096" max="15096" width="5.6640625" style="77" bestFit="1" customWidth="1"/>
    <col min="15097" max="15097" width="36" style="77" customWidth="1"/>
    <col min="15098" max="15101" width="0" style="77" hidden="1" customWidth="1"/>
    <col min="15102" max="15102" width="9.6640625" style="77" bestFit="1" customWidth="1"/>
    <col min="15103" max="15103" width="0" style="77" hidden="1" customWidth="1"/>
    <col min="15104" max="15108" width="9.6640625" style="77" bestFit="1" customWidth="1"/>
    <col min="15109" max="15350" width="9.33203125" style="77"/>
    <col min="15351" max="15351" width="3.44140625" style="77" customWidth="1"/>
    <col min="15352" max="15352" width="5.6640625" style="77" bestFit="1" customWidth="1"/>
    <col min="15353" max="15353" width="36" style="77" customWidth="1"/>
    <col min="15354" max="15357" width="0" style="77" hidden="1" customWidth="1"/>
    <col min="15358" max="15358" width="9.6640625" style="77" bestFit="1" customWidth="1"/>
    <col min="15359" max="15359" width="0" style="77" hidden="1" customWidth="1"/>
    <col min="15360" max="15364" width="9.6640625" style="77" bestFit="1" customWidth="1"/>
    <col min="15365" max="15606" width="9.33203125" style="77"/>
    <col min="15607" max="15607" width="3.44140625" style="77" customWidth="1"/>
    <col min="15608" max="15608" width="5.6640625" style="77" bestFit="1" customWidth="1"/>
    <col min="15609" max="15609" width="36" style="77" customWidth="1"/>
    <col min="15610" max="15613" width="0" style="77" hidden="1" customWidth="1"/>
    <col min="15614" max="15614" width="9.6640625" style="77" bestFit="1" customWidth="1"/>
    <col min="15615" max="15615" width="0" style="77" hidden="1" customWidth="1"/>
    <col min="15616" max="15620" width="9.6640625" style="77" bestFit="1" customWidth="1"/>
    <col min="15621" max="15862" width="9.33203125" style="77"/>
    <col min="15863" max="15863" width="3.44140625" style="77" customWidth="1"/>
    <col min="15864" max="15864" width="5.6640625" style="77" bestFit="1" customWidth="1"/>
    <col min="15865" max="15865" width="36" style="77" customWidth="1"/>
    <col min="15866" max="15869" width="0" style="77" hidden="1" customWidth="1"/>
    <col min="15870" max="15870" width="9.6640625" style="77" bestFit="1" customWidth="1"/>
    <col min="15871" max="15871" width="0" style="77" hidden="1" customWidth="1"/>
    <col min="15872" max="15876" width="9.6640625" style="77" bestFit="1" customWidth="1"/>
    <col min="15877" max="16118" width="9.33203125" style="77"/>
    <col min="16119" max="16119" width="3.44140625" style="77" customWidth="1"/>
    <col min="16120" max="16120" width="5.6640625" style="77" bestFit="1" customWidth="1"/>
    <col min="16121" max="16121" width="36" style="77" customWidth="1"/>
    <col min="16122" max="16125" width="0" style="77" hidden="1" customWidth="1"/>
    <col min="16126" max="16126" width="9.6640625" style="77" bestFit="1" customWidth="1"/>
    <col min="16127" max="16127" width="0" style="77" hidden="1" customWidth="1"/>
    <col min="16128" max="16132" width="9.6640625" style="77" bestFit="1" customWidth="1"/>
    <col min="16133" max="16384" width="9.33203125" style="77"/>
  </cols>
  <sheetData>
    <row r="2" spans="2:6" x14ac:dyDescent="0.3">
      <c r="B2" s="617" t="s">
        <v>574</v>
      </c>
      <c r="C2" s="617"/>
      <c r="D2" s="617"/>
      <c r="E2" s="617"/>
      <c r="F2" s="617"/>
    </row>
    <row r="3" spans="2:6" ht="13.2" customHeight="1" x14ac:dyDescent="0.3">
      <c r="B3" s="617" t="s">
        <v>575</v>
      </c>
      <c r="C3" s="617"/>
      <c r="D3" s="617"/>
      <c r="E3" s="617"/>
      <c r="F3" s="617"/>
    </row>
    <row r="4" spans="2:6" ht="13.2" customHeight="1" x14ac:dyDescent="0.3">
      <c r="B4" s="617" t="str">
        <f>'F6 (2)'!B4:D4</f>
        <v>CHHATTISGARH STATE POWER TRANSMISSION COMPANY LIMITED</v>
      </c>
      <c r="C4" s="617"/>
      <c r="D4" s="617"/>
      <c r="E4" s="617"/>
      <c r="F4" s="617"/>
    </row>
    <row r="5" spans="2:6" ht="27.6" x14ac:dyDescent="0.3">
      <c r="B5" s="550" t="s">
        <v>1</v>
      </c>
      <c r="C5" s="550" t="s">
        <v>2</v>
      </c>
      <c r="D5" s="551" t="s">
        <v>27</v>
      </c>
      <c r="E5" s="551" t="s">
        <v>28</v>
      </c>
      <c r="F5" s="551" t="s">
        <v>29</v>
      </c>
    </row>
    <row r="6" spans="2:6" s="83" customFormat="1" x14ac:dyDescent="0.3">
      <c r="B6" s="328"/>
      <c r="C6" s="329"/>
      <c r="D6" s="341"/>
      <c r="E6" s="342"/>
      <c r="F6" s="330"/>
    </row>
    <row r="7" spans="2:6" x14ac:dyDescent="0.3">
      <c r="B7" s="331">
        <f>'F1'!B9</f>
        <v>1</v>
      </c>
      <c r="C7" s="332" t="str">
        <f>'F1'!C9</f>
        <v>Employee Expenses</v>
      </c>
      <c r="D7" s="338">
        <f>'F1'!K9</f>
        <v>195.24410515399998</v>
      </c>
      <c r="E7" s="339">
        <f>'F1'!M9</f>
        <v>189.43001799899994</v>
      </c>
      <c r="F7" s="333">
        <f>'F1'!O9</f>
        <v>188.31604671500003</v>
      </c>
    </row>
    <row r="8" spans="2:6" x14ac:dyDescent="0.3">
      <c r="B8" s="331">
        <f>'F1'!B10</f>
        <v>2</v>
      </c>
      <c r="C8" s="332" t="str">
        <f>'F1'!C10</f>
        <v>A&amp;G Expenses</v>
      </c>
      <c r="D8" s="338">
        <f>'F1'!K10</f>
        <v>50.42</v>
      </c>
      <c r="E8" s="339">
        <f>'F1'!M10</f>
        <v>57.667913359712607</v>
      </c>
      <c r="F8" s="333">
        <f>'F1'!O10</f>
        <v>49.424701084686362</v>
      </c>
    </row>
    <row r="9" spans="2:6" x14ac:dyDescent="0.3">
      <c r="B9" s="331">
        <f>'F1'!B11</f>
        <v>3</v>
      </c>
      <c r="C9" s="332" t="str">
        <f>'F1'!C11</f>
        <v>R&amp;M Expenses</v>
      </c>
      <c r="D9" s="338">
        <f>'F1'!K11</f>
        <v>51.141576368999999</v>
      </c>
      <c r="E9" s="339">
        <f>'F1'!M11</f>
        <v>54.074477441999981</v>
      </c>
      <c r="F9" s="333">
        <f>'F1'!O11</f>
        <v>62.442761813999965</v>
      </c>
    </row>
    <row r="10" spans="2:6" x14ac:dyDescent="0.3">
      <c r="B10" s="331">
        <f>'F1'!B12</f>
        <v>4</v>
      </c>
      <c r="C10" s="332" t="str">
        <f>'F1'!C12</f>
        <v>Terminal Benefits</v>
      </c>
      <c r="D10" s="338">
        <f>'F1'!K12</f>
        <v>45.26</v>
      </c>
      <c r="E10" s="339">
        <f>'F1'!M12</f>
        <v>69.52</v>
      </c>
      <c r="F10" s="333">
        <f>'F1'!O12</f>
        <v>87.65</v>
      </c>
    </row>
    <row r="11" spans="2:6" x14ac:dyDescent="0.3">
      <c r="B11" s="331">
        <f>'F1'!B13</f>
        <v>5</v>
      </c>
      <c r="C11" s="332" t="str">
        <f>'F1'!C13</f>
        <v>Interim Wage Relief</v>
      </c>
      <c r="D11" s="338">
        <f>'F1'!K13</f>
        <v>0</v>
      </c>
      <c r="E11" s="339">
        <f>'F1'!M13</f>
        <v>0</v>
      </c>
      <c r="F11" s="333">
        <f>'F1'!O13</f>
        <v>0</v>
      </c>
    </row>
    <row r="12" spans="2:6" ht="12.75" customHeight="1" x14ac:dyDescent="0.3">
      <c r="B12" s="331">
        <f>'F1'!B14</f>
        <v>6</v>
      </c>
      <c r="C12" s="332" t="str">
        <f>'F1'!C14</f>
        <v>Less: Capitalization of Emp, R&amp;M and A&amp;G Expenses</v>
      </c>
      <c r="D12" s="338">
        <f>'F1'!K14</f>
        <v>14.845179725999996</v>
      </c>
      <c r="E12" s="339">
        <f>'F1'!M14</f>
        <v>10.809629214999999</v>
      </c>
      <c r="F12" s="333">
        <f>'F1'!O14</f>
        <v>11.978342101000001</v>
      </c>
    </row>
    <row r="13" spans="2:6" x14ac:dyDescent="0.3">
      <c r="B13" s="331">
        <f>'F1'!B15</f>
        <v>7</v>
      </c>
      <c r="C13" s="332" t="str">
        <f>'F1'!C15</f>
        <v>Depreciation</v>
      </c>
      <c r="D13" s="338">
        <f>'F1'!K15</f>
        <v>231.99875801655651</v>
      </c>
      <c r="E13" s="339">
        <f>'F1'!M15</f>
        <v>249.12435774060776</v>
      </c>
      <c r="F13" s="333">
        <f>'F1'!O15</f>
        <v>256.74539891145395</v>
      </c>
    </row>
    <row r="14" spans="2:6" x14ac:dyDescent="0.3">
      <c r="B14" s="331">
        <f>'F1'!B16</f>
        <v>8</v>
      </c>
      <c r="C14" s="332" t="str">
        <f>'F1'!C16</f>
        <v>Interest on Loan</v>
      </c>
      <c r="D14" s="338">
        <f>'F1'!K16</f>
        <v>195.77</v>
      </c>
      <c r="E14" s="339">
        <f>'F1'!M16</f>
        <v>192.26389384024492</v>
      </c>
      <c r="F14" s="333">
        <f>'F1'!O16</f>
        <v>187.60957992887072</v>
      </c>
    </row>
    <row r="15" spans="2:6" x14ac:dyDescent="0.3">
      <c r="B15" s="331">
        <f>'F1'!B17</f>
        <v>9</v>
      </c>
      <c r="C15" s="332" t="str">
        <f>'F1'!C17</f>
        <v>Interest on Working capital</v>
      </c>
      <c r="D15" s="338">
        <f>'F1'!K17</f>
        <v>13.502544998650876</v>
      </c>
      <c r="E15" s="339">
        <f>'F1'!M17</f>
        <v>13.417561915187894</v>
      </c>
      <c r="F15" s="333">
        <f>'F1'!O17</f>
        <v>14.129750243509966</v>
      </c>
    </row>
    <row r="16" spans="2:6" x14ac:dyDescent="0.3">
      <c r="B16" s="331">
        <f>'F1'!B18</f>
        <v>10</v>
      </c>
      <c r="C16" s="332" t="str">
        <f>'F1'!C18</f>
        <v>Prior Period (Income) / Expenses</v>
      </c>
      <c r="D16" s="338">
        <f>'F1'!K18</f>
        <v>0</v>
      </c>
      <c r="E16" s="339">
        <f>'F1'!M18</f>
        <v>0</v>
      </c>
      <c r="F16" s="333">
        <f>'F1'!O18</f>
        <v>0</v>
      </c>
    </row>
    <row r="17" spans="2:6" x14ac:dyDescent="0.3">
      <c r="B17" s="331">
        <f>'F1'!B19</f>
        <v>11</v>
      </c>
      <c r="C17" s="332" t="str">
        <f>'F1'!C19</f>
        <v>Return on Equity</v>
      </c>
      <c r="D17" s="338">
        <f>'F1'!K19</f>
        <v>198.52639012422949</v>
      </c>
      <c r="E17" s="339">
        <f>'F1'!M19</f>
        <v>215.45735160912946</v>
      </c>
      <c r="F17" s="333">
        <f>'F1'!O19</f>
        <v>226.48386615067619</v>
      </c>
    </row>
    <row r="18" spans="2:6" s="90" customFormat="1" x14ac:dyDescent="0.3">
      <c r="B18" s="331">
        <f>'F1'!B20</f>
        <v>12</v>
      </c>
      <c r="C18" s="332" t="str">
        <f>'F1'!C20</f>
        <v>Gain/(Loss) on Sharing O&amp;M Efficiency</v>
      </c>
      <c r="D18" s="338">
        <f>'F1'!K20</f>
        <v>-7.49</v>
      </c>
      <c r="E18" s="339">
        <f>'F1'!M20</f>
        <v>-8.9359912858473081</v>
      </c>
      <c r="F18" s="333">
        <f>'F1'!O20</f>
        <v>-0.38425939322779357</v>
      </c>
    </row>
    <row r="19" spans="2:6" x14ac:dyDescent="0.3">
      <c r="B19" s="331">
        <f>'F1'!B21</f>
        <v>13</v>
      </c>
      <c r="C19" s="332" t="str">
        <f>'F1'!C21</f>
        <v>Incentive on Transmission Availability</v>
      </c>
      <c r="D19" s="338">
        <f ca="1">'F1'!K21</f>
        <v>3.6455192761117123</v>
      </c>
      <c r="E19" s="339">
        <f>'F1'!M21</f>
        <v>3.62</v>
      </c>
      <c r="F19" s="333">
        <f ca="1">'F1'!O21</f>
        <v>4.0027749534751687</v>
      </c>
    </row>
    <row r="20" spans="2:6" x14ac:dyDescent="0.3">
      <c r="B20" s="331">
        <f>'F1'!B22</f>
        <v>14</v>
      </c>
      <c r="C20" s="332" t="str">
        <f>'F1'!C22</f>
        <v>Current Tax</v>
      </c>
      <c r="D20" s="338">
        <f>'F1'!K22</f>
        <v>12.744500887935523</v>
      </c>
      <c r="E20" s="339">
        <f>'F1'!M22</f>
        <v>1.9845223299551102</v>
      </c>
      <c r="F20" s="333">
        <f>'F1'!O22</f>
        <v>9.1395929440000003</v>
      </c>
    </row>
    <row r="21" spans="2:6" x14ac:dyDescent="0.25">
      <c r="B21" s="331">
        <v>15</v>
      </c>
      <c r="C21" s="571" t="s">
        <v>576</v>
      </c>
      <c r="D21" s="338"/>
      <c r="E21" s="331">
        <v>48.33</v>
      </c>
      <c r="F21" s="333"/>
    </row>
    <row r="22" spans="2:6" x14ac:dyDescent="0.3">
      <c r="B22" s="335">
        <f>'F1'!B23</f>
        <v>15</v>
      </c>
      <c r="C22" s="336" t="str">
        <f>'F1'!C23</f>
        <v>Total Gross Aggregate Revenue Requirement</v>
      </c>
      <c r="D22" s="340">
        <f ca="1">SUM(D7:D11,D13:D20)-D12</f>
        <v>975.91821510048408</v>
      </c>
      <c r="E22" s="340">
        <f>SUM(E7:E11,E13:E20)-E12-E21</f>
        <v>978.48447573499004</v>
      </c>
      <c r="F22" s="333">
        <f ca="1">'F1'!O23</f>
        <v>1073.5818712514445</v>
      </c>
    </row>
    <row r="23" spans="2:6" x14ac:dyDescent="0.3">
      <c r="B23" s="331"/>
      <c r="C23" s="332"/>
      <c r="D23" s="338">
        <f>'F1'!I24</f>
        <v>0</v>
      </c>
      <c r="E23" s="331"/>
      <c r="F23" s="333"/>
    </row>
    <row r="24" spans="2:6" x14ac:dyDescent="0.3">
      <c r="B24" s="331">
        <f>'F1'!B25</f>
        <v>16</v>
      </c>
      <c r="C24" s="332" t="str">
        <f>'F1'!C25</f>
        <v>Less: Non Tariff Income</v>
      </c>
      <c r="D24" s="338">
        <f>'F1'!K25</f>
        <v>13.501126206999999</v>
      </c>
      <c r="E24" s="339">
        <f>'F1'!M25</f>
        <v>71.653440428999943</v>
      </c>
      <c r="F24" s="333">
        <f>'F1'!O25</f>
        <v>16.849283533999998</v>
      </c>
    </row>
    <row r="25" spans="2:6" x14ac:dyDescent="0.3">
      <c r="B25" s="331"/>
      <c r="C25" s="332"/>
      <c r="D25" s="338">
        <f>'F1'!I26</f>
        <v>0</v>
      </c>
      <c r="E25" s="331"/>
      <c r="F25" s="333"/>
    </row>
    <row r="26" spans="2:6" x14ac:dyDescent="0.3">
      <c r="B26" s="335">
        <f>'F1'!B27</f>
        <v>17</v>
      </c>
      <c r="C26" s="336" t="s">
        <v>577</v>
      </c>
      <c r="D26" s="337">
        <f ca="1">D22-D24</f>
        <v>962.41708889348411</v>
      </c>
      <c r="E26" s="337">
        <v>906.68</v>
      </c>
      <c r="F26" s="337">
        <f ca="1">F22-F24</f>
        <v>1056.7325877174444</v>
      </c>
    </row>
    <row r="28" spans="2:6" ht="12.75" customHeight="1" x14ac:dyDescent="0.3"/>
  </sheetData>
  <mergeCells count="3">
    <mergeCell ref="B4:F4"/>
    <mergeCell ref="B3:F3"/>
    <mergeCell ref="B2:F2"/>
  </mergeCells>
  <pageMargins left="0.7" right="0.7" top="0.75" bottom="0.75" header="0.3" footer="0.3"/>
  <pageSetup scale="58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CX26"/>
  <sheetViews>
    <sheetView showGridLines="0" topLeftCell="A4" zoomScaleNormal="100" zoomScaleSheetLayoutView="90" workbookViewId="0">
      <selection activeCell="G7" sqref="G7:G23"/>
    </sheetView>
  </sheetViews>
  <sheetFormatPr defaultRowHeight="13.8" x14ac:dyDescent="0.3"/>
  <cols>
    <col min="1" max="1" width="2" style="77" customWidth="1"/>
    <col min="2" max="2" width="5.6640625" style="92" bestFit="1" customWidth="1"/>
    <col min="3" max="3" width="26.5546875" style="77" customWidth="1"/>
    <col min="4" max="4" width="11.44140625" style="77" hidden="1" customWidth="1"/>
    <col min="5" max="5" width="10.33203125" style="77" hidden="1" customWidth="1"/>
    <col min="6" max="6" width="11.44140625" style="77" hidden="1" customWidth="1"/>
    <col min="7" max="7" width="11.44140625" style="77" bestFit="1" customWidth="1"/>
    <col min="8" max="245" width="9.33203125" style="77"/>
    <col min="246" max="246" width="2" style="77" customWidth="1"/>
    <col min="247" max="247" width="5.6640625" style="77" bestFit="1" customWidth="1"/>
    <col min="248" max="248" width="26.5546875" style="77" customWidth="1"/>
    <col min="249" max="252" width="0" style="77" hidden="1" customWidth="1"/>
    <col min="253" max="253" width="9.6640625" style="77" bestFit="1" customWidth="1"/>
    <col min="254" max="254" width="0" style="77" hidden="1" customWidth="1"/>
    <col min="255" max="259" width="9.6640625" style="77" bestFit="1" customWidth="1"/>
    <col min="260" max="501" width="9.33203125" style="77"/>
    <col min="502" max="502" width="2" style="77" customWidth="1"/>
    <col min="503" max="503" width="5.6640625" style="77" bestFit="1" customWidth="1"/>
    <col min="504" max="504" width="26.5546875" style="77" customWidth="1"/>
    <col min="505" max="508" width="0" style="77" hidden="1" customWidth="1"/>
    <col min="509" max="509" width="9.6640625" style="77" bestFit="1" customWidth="1"/>
    <col min="510" max="510" width="0" style="77" hidden="1" customWidth="1"/>
    <col min="511" max="515" width="9.6640625" style="77" bestFit="1" customWidth="1"/>
    <col min="516" max="757" width="9.33203125" style="77"/>
    <col min="758" max="758" width="2" style="77" customWidth="1"/>
    <col min="759" max="759" width="5.6640625" style="77" bestFit="1" customWidth="1"/>
    <col min="760" max="760" width="26.5546875" style="77" customWidth="1"/>
    <col min="761" max="764" width="0" style="77" hidden="1" customWidth="1"/>
    <col min="765" max="765" width="9.6640625" style="77" bestFit="1" customWidth="1"/>
    <col min="766" max="766" width="0" style="77" hidden="1" customWidth="1"/>
    <col min="767" max="771" width="9.6640625" style="77" bestFit="1" customWidth="1"/>
    <col min="772" max="1013" width="9.33203125" style="77"/>
    <col min="1014" max="1014" width="2" style="77" customWidth="1"/>
    <col min="1015" max="1015" width="5.6640625" style="77" bestFit="1" customWidth="1"/>
    <col min="1016" max="1016" width="26.5546875" style="77" customWidth="1"/>
    <col min="1017" max="1020" width="0" style="77" hidden="1" customWidth="1"/>
    <col min="1021" max="1021" width="9.6640625" style="77" bestFit="1" customWidth="1"/>
    <col min="1022" max="1022" width="0" style="77" hidden="1" customWidth="1"/>
    <col min="1023" max="1027" width="9.6640625" style="77" bestFit="1" customWidth="1"/>
    <col min="1028" max="1269" width="9.33203125" style="77"/>
    <col min="1270" max="1270" width="2" style="77" customWidth="1"/>
    <col min="1271" max="1271" width="5.6640625" style="77" bestFit="1" customWidth="1"/>
    <col min="1272" max="1272" width="26.5546875" style="77" customWidth="1"/>
    <col min="1273" max="1276" width="0" style="77" hidden="1" customWidth="1"/>
    <col min="1277" max="1277" width="9.6640625" style="77" bestFit="1" customWidth="1"/>
    <col min="1278" max="1278" width="0" style="77" hidden="1" customWidth="1"/>
    <col min="1279" max="1283" width="9.6640625" style="77" bestFit="1" customWidth="1"/>
    <col min="1284" max="1525" width="9.33203125" style="77"/>
    <col min="1526" max="1526" width="2" style="77" customWidth="1"/>
    <col min="1527" max="1527" width="5.6640625" style="77" bestFit="1" customWidth="1"/>
    <col min="1528" max="1528" width="26.5546875" style="77" customWidth="1"/>
    <col min="1529" max="1532" width="0" style="77" hidden="1" customWidth="1"/>
    <col min="1533" max="1533" width="9.6640625" style="77" bestFit="1" customWidth="1"/>
    <col min="1534" max="1534" width="0" style="77" hidden="1" customWidth="1"/>
    <col min="1535" max="1539" width="9.6640625" style="77" bestFit="1" customWidth="1"/>
    <col min="1540" max="1781" width="9.33203125" style="77"/>
    <col min="1782" max="1782" width="2" style="77" customWidth="1"/>
    <col min="1783" max="1783" width="5.6640625" style="77" bestFit="1" customWidth="1"/>
    <col min="1784" max="1784" width="26.5546875" style="77" customWidth="1"/>
    <col min="1785" max="1788" width="0" style="77" hidden="1" customWidth="1"/>
    <col min="1789" max="1789" width="9.6640625" style="77" bestFit="1" customWidth="1"/>
    <col min="1790" max="1790" width="0" style="77" hidden="1" customWidth="1"/>
    <col min="1791" max="1795" width="9.6640625" style="77" bestFit="1" customWidth="1"/>
    <col min="1796" max="2037" width="9.33203125" style="77"/>
    <col min="2038" max="2038" width="2" style="77" customWidth="1"/>
    <col min="2039" max="2039" width="5.6640625" style="77" bestFit="1" customWidth="1"/>
    <col min="2040" max="2040" width="26.5546875" style="77" customWidth="1"/>
    <col min="2041" max="2044" width="0" style="77" hidden="1" customWidth="1"/>
    <col min="2045" max="2045" width="9.6640625" style="77" bestFit="1" customWidth="1"/>
    <col min="2046" max="2046" width="0" style="77" hidden="1" customWidth="1"/>
    <col min="2047" max="2051" width="9.6640625" style="77" bestFit="1" customWidth="1"/>
    <col min="2052" max="2293" width="9.33203125" style="77"/>
    <col min="2294" max="2294" width="2" style="77" customWidth="1"/>
    <col min="2295" max="2295" width="5.6640625" style="77" bestFit="1" customWidth="1"/>
    <col min="2296" max="2296" width="26.5546875" style="77" customWidth="1"/>
    <col min="2297" max="2300" width="0" style="77" hidden="1" customWidth="1"/>
    <col min="2301" max="2301" width="9.6640625" style="77" bestFit="1" customWidth="1"/>
    <col min="2302" max="2302" width="0" style="77" hidden="1" customWidth="1"/>
    <col min="2303" max="2307" width="9.6640625" style="77" bestFit="1" customWidth="1"/>
    <col min="2308" max="2549" width="9.33203125" style="77"/>
    <col min="2550" max="2550" width="2" style="77" customWidth="1"/>
    <col min="2551" max="2551" width="5.6640625" style="77" bestFit="1" customWidth="1"/>
    <col min="2552" max="2552" width="26.5546875" style="77" customWidth="1"/>
    <col min="2553" max="2556" width="0" style="77" hidden="1" customWidth="1"/>
    <col min="2557" max="2557" width="9.6640625" style="77" bestFit="1" customWidth="1"/>
    <col min="2558" max="2558" width="0" style="77" hidden="1" customWidth="1"/>
    <col min="2559" max="2563" width="9.6640625" style="77" bestFit="1" customWidth="1"/>
    <col min="2564" max="2805" width="9.33203125" style="77"/>
    <col min="2806" max="2806" width="2" style="77" customWidth="1"/>
    <col min="2807" max="2807" width="5.6640625" style="77" bestFit="1" customWidth="1"/>
    <col min="2808" max="2808" width="26.5546875" style="77" customWidth="1"/>
    <col min="2809" max="2812" width="0" style="77" hidden="1" customWidth="1"/>
    <col min="2813" max="2813" width="9.6640625" style="77" bestFit="1" customWidth="1"/>
    <col min="2814" max="2814" width="0" style="77" hidden="1" customWidth="1"/>
    <col min="2815" max="2819" width="9.6640625" style="77" bestFit="1" customWidth="1"/>
    <col min="2820" max="3061" width="9.33203125" style="77"/>
    <col min="3062" max="3062" width="2" style="77" customWidth="1"/>
    <col min="3063" max="3063" width="5.6640625" style="77" bestFit="1" customWidth="1"/>
    <col min="3064" max="3064" width="26.5546875" style="77" customWidth="1"/>
    <col min="3065" max="3068" width="0" style="77" hidden="1" customWidth="1"/>
    <col min="3069" max="3069" width="9.6640625" style="77" bestFit="1" customWidth="1"/>
    <col min="3070" max="3070" width="0" style="77" hidden="1" customWidth="1"/>
    <col min="3071" max="3075" width="9.6640625" style="77" bestFit="1" customWidth="1"/>
    <col min="3076" max="3317" width="9.33203125" style="77"/>
    <col min="3318" max="3318" width="2" style="77" customWidth="1"/>
    <col min="3319" max="3319" width="5.6640625" style="77" bestFit="1" customWidth="1"/>
    <col min="3320" max="3320" width="26.5546875" style="77" customWidth="1"/>
    <col min="3321" max="3324" width="0" style="77" hidden="1" customWidth="1"/>
    <col min="3325" max="3325" width="9.6640625" style="77" bestFit="1" customWidth="1"/>
    <col min="3326" max="3326" width="0" style="77" hidden="1" customWidth="1"/>
    <col min="3327" max="3331" width="9.6640625" style="77" bestFit="1" customWidth="1"/>
    <col min="3332" max="3573" width="9.33203125" style="77"/>
    <col min="3574" max="3574" width="2" style="77" customWidth="1"/>
    <col min="3575" max="3575" width="5.6640625" style="77" bestFit="1" customWidth="1"/>
    <col min="3576" max="3576" width="26.5546875" style="77" customWidth="1"/>
    <col min="3577" max="3580" width="0" style="77" hidden="1" customWidth="1"/>
    <col min="3581" max="3581" width="9.6640625" style="77" bestFit="1" customWidth="1"/>
    <col min="3582" max="3582" width="0" style="77" hidden="1" customWidth="1"/>
    <col min="3583" max="3587" width="9.6640625" style="77" bestFit="1" customWidth="1"/>
    <col min="3588" max="3829" width="9.33203125" style="77"/>
    <col min="3830" max="3830" width="2" style="77" customWidth="1"/>
    <col min="3831" max="3831" width="5.6640625" style="77" bestFit="1" customWidth="1"/>
    <col min="3832" max="3832" width="26.5546875" style="77" customWidth="1"/>
    <col min="3833" max="3836" width="0" style="77" hidden="1" customWidth="1"/>
    <col min="3837" max="3837" width="9.6640625" style="77" bestFit="1" customWidth="1"/>
    <col min="3838" max="3838" width="0" style="77" hidden="1" customWidth="1"/>
    <col min="3839" max="3843" width="9.6640625" style="77" bestFit="1" customWidth="1"/>
    <col min="3844" max="4085" width="9.33203125" style="77"/>
    <col min="4086" max="4086" width="2" style="77" customWidth="1"/>
    <col min="4087" max="4087" width="5.6640625" style="77" bestFit="1" customWidth="1"/>
    <col min="4088" max="4088" width="26.5546875" style="77" customWidth="1"/>
    <col min="4089" max="4092" width="0" style="77" hidden="1" customWidth="1"/>
    <col min="4093" max="4093" width="9.6640625" style="77" bestFit="1" customWidth="1"/>
    <col min="4094" max="4094" width="0" style="77" hidden="1" customWidth="1"/>
    <col min="4095" max="4099" width="9.6640625" style="77" bestFit="1" customWidth="1"/>
    <col min="4100" max="4341" width="9.33203125" style="77"/>
    <col min="4342" max="4342" width="2" style="77" customWidth="1"/>
    <col min="4343" max="4343" width="5.6640625" style="77" bestFit="1" customWidth="1"/>
    <col min="4344" max="4344" width="26.5546875" style="77" customWidth="1"/>
    <col min="4345" max="4348" width="0" style="77" hidden="1" customWidth="1"/>
    <col min="4349" max="4349" width="9.6640625" style="77" bestFit="1" customWidth="1"/>
    <col min="4350" max="4350" width="0" style="77" hidden="1" customWidth="1"/>
    <col min="4351" max="4355" width="9.6640625" style="77" bestFit="1" customWidth="1"/>
    <col min="4356" max="4597" width="9.33203125" style="77"/>
    <col min="4598" max="4598" width="2" style="77" customWidth="1"/>
    <col min="4599" max="4599" width="5.6640625" style="77" bestFit="1" customWidth="1"/>
    <col min="4600" max="4600" width="26.5546875" style="77" customWidth="1"/>
    <col min="4601" max="4604" width="0" style="77" hidden="1" customWidth="1"/>
    <col min="4605" max="4605" width="9.6640625" style="77" bestFit="1" customWidth="1"/>
    <col min="4606" max="4606" width="0" style="77" hidden="1" customWidth="1"/>
    <col min="4607" max="4611" width="9.6640625" style="77" bestFit="1" customWidth="1"/>
    <col min="4612" max="4853" width="9.33203125" style="77"/>
    <col min="4854" max="4854" width="2" style="77" customWidth="1"/>
    <col min="4855" max="4855" width="5.6640625" style="77" bestFit="1" customWidth="1"/>
    <col min="4856" max="4856" width="26.5546875" style="77" customWidth="1"/>
    <col min="4857" max="4860" width="0" style="77" hidden="1" customWidth="1"/>
    <col min="4861" max="4861" width="9.6640625" style="77" bestFit="1" customWidth="1"/>
    <col min="4862" max="4862" width="0" style="77" hidden="1" customWidth="1"/>
    <col min="4863" max="4867" width="9.6640625" style="77" bestFit="1" customWidth="1"/>
    <col min="4868" max="5109" width="9.33203125" style="77"/>
    <col min="5110" max="5110" width="2" style="77" customWidth="1"/>
    <col min="5111" max="5111" width="5.6640625" style="77" bestFit="1" customWidth="1"/>
    <col min="5112" max="5112" width="26.5546875" style="77" customWidth="1"/>
    <col min="5113" max="5116" width="0" style="77" hidden="1" customWidth="1"/>
    <col min="5117" max="5117" width="9.6640625" style="77" bestFit="1" customWidth="1"/>
    <col min="5118" max="5118" width="0" style="77" hidden="1" customWidth="1"/>
    <col min="5119" max="5123" width="9.6640625" style="77" bestFit="1" customWidth="1"/>
    <col min="5124" max="5365" width="9.33203125" style="77"/>
    <col min="5366" max="5366" width="2" style="77" customWidth="1"/>
    <col min="5367" max="5367" width="5.6640625" style="77" bestFit="1" customWidth="1"/>
    <col min="5368" max="5368" width="26.5546875" style="77" customWidth="1"/>
    <col min="5369" max="5372" width="0" style="77" hidden="1" customWidth="1"/>
    <col min="5373" max="5373" width="9.6640625" style="77" bestFit="1" customWidth="1"/>
    <col min="5374" max="5374" width="0" style="77" hidden="1" customWidth="1"/>
    <col min="5375" max="5379" width="9.6640625" style="77" bestFit="1" customWidth="1"/>
    <col min="5380" max="5621" width="9.33203125" style="77"/>
    <col min="5622" max="5622" width="2" style="77" customWidth="1"/>
    <col min="5623" max="5623" width="5.6640625" style="77" bestFit="1" customWidth="1"/>
    <col min="5624" max="5624" width="26.5546875" style="77" customWidth="1"/>
    <col min="5625" max="5628" width="0" style="77" hidden="1" customWidth="1"/>
    <col min="5629" max="5629" width="9.6640625" style="77" bestFit="1" customWidth="1"/>
    <col min="5630" max="5630" width="0" style="77" hidden="1" customWidth="1"/>
    <col min="5631" max="5635" width="9.6640625" style="77" bestFit="1" customWidth="1"/>
    <col min="5636" max="5877" width="9.33203125" style="77"/>
    <col min="5878" max="5878" width="2" style="77" customWidth="1"/>
    <col min="5879" max="5879" width="5.6640625" style="77" bestFit="1" customWidth="1"/>
    <col min="5880" max="5880" width="26.5546875" style="77" customWidth="1"/>
    <col min="5881" max="5884" width="0" style="77" hidden="1" customWidth="1"/>
    <col min="5885" max="5885" width="9.6640625" style="77" bestFit="1" customWidth="1"/>
    <col min="5886" max="5886" width="0" style="77" hidden="1" customWidth="1"/>
    <col min="5887" max="5891" width="9.6640625" style="77" bestFit="1" customWidth="1"/>
    <col min="5892" max="6133" width="9.33203125" style="77"/>
    <col min="6134" max="6134" width="2" style="77" customWidth="1"/>
    <col min="6135" max="6135" width="5.6640625" style="77" bestFit="1" customWidth="1"/>
    <col min="6136" max="6136" width="26.5546875" style="77" customWidth="1"/>
    <col min="6137" max="6140" width="0" style="77" hidden="1" customWidth="1"/>
    <col min="6141" max="6141" width="9.6640625" style="77" bestFit="1" customWidth="1"/>
    <col min="6142" max="6142" width="0" style="77" hidden="1" customWidth="1"/>
    <col min="6143" max="6147" width="9.6640625" style="77" bestFit="1" customWidth="1"/>
    <col min="6148" max="6389" width="9.33203125" style="77"/>
    <col min="6390" max="6390" width="2" style="77" customWidth="1"/>
    <col min="6391" max="6391" width="5.6640625" style="77" bestFit="1" customWidth="1"/>
    <col min="6392" max="6392" width="26.5546875" style="77" customWidth="1"/>
    <col min="6393" max="6396" width="0" style="77" hidden="1" customWidth="1"/>
    <col min="6397" max="6397" width="9.6640625" style="77" bestFit="1" customWidth="1"/>
    <col min="6398" max="6398" width="0" style="77" hidden="1" customWidth="1"/>
    <col min="6399" max="6403" width="9.6640625" style="77" bestFit="1" customWidth="1"/>
    <col min="6404" max="6645" width="9.33203125" style="77"/>
    <col min="6646" max="6646" width="2" style="77" customWidth="1"/>
    <col min="6647" max="6647" width="5.6640625" style="77" bestFit="1" customWidth="1"/>
    <col min="6648" max="6648" width="26.5546875" style="77" customWidth="1"/>
    <col min="6649" max="6652" width="0" style="77" hidden="1" customWidth="1"/>
    <col min="6653" max="6653" width="9.6640625" style="77" bestFit="1" customWidth="1"/>
    <col min="6654" max="6654" width="0" style="77" hidden="1" customWidth="1"/>
    <col min="6655" max="6659" width="9.6640625" style="77" bestFit="1" customWidth="1"/>
    <col min="6660" max="6901" width="9.33203125" style="77"/>
    <col min="6902" max="6902" width="2" style="77" customWidth="1"/>
    <col min="6903" max="6903" width="5.6640625" style="77" bestFit="1" customWidth="1"/>
    <col min="6904" max="6904" width="26.5546875" style="77" customWidth="1"/>
    <col min="6905" max="6908" width="0" style="77" hidden="1" customWidth="1"/>
    <col min="6909" max="6909" width="9.6640625" style="77" bestFit="1" customWidth="1"/>
    <col min="6910" max="6910" width="0" style="77" hidden="1" customWidth="1"/>
    <col min="6911" max="6915" width="9.6640625" style="77" bestFit="1" customWidth="1"/>
    <col min="6916" max="7157" width="9.33203125" style="77"/>
    <col min="7158" max="7158" width="2" style="77" customWidth="1"/>
    <col min="7159" max="7159" width="5.6640625" style="77" bestFit="1" customWidth="1"/>
    <col min="7160" max="7160" width="26.5546875" style="77" customWidth="1"/>
    <col min="7161" max="7164" width="0" style="77" hidden="1" customWidth="1"/>
    <col min="7165" max="7165" width="9.6640625" style="77" bestFit="1" customWidth="1"/>
    <col min="7166" max="7166" width="0" style="77" hidden="1" customWidth="1"/>
    <col min="7167" max="7171" width="9.6640625" style="77" bestFit="1" customWidth="1"/>
    <col min="7172" max="7413" width="9.33203125" style="77"/>
    <col min="7414" max="7414" width="2" style="77" customWidth="1"/>
    <col min="7415" max="7415" width="5.6640625" style="77" bestFit="1" customWidth="1"/>
    <col min="7416" max="7416" width="26.5546875" style="77" customWidth="1"/>
    <col min="7417" max="7420" width="0" style="77" hidden="1" customWidth="1"/>
    <col min="7421" max="7421" width="9.6640625" style="77" bestFit="1" customWidth="1"/>
    <col min="7422" max="7422" width="0" style="77" hidden="1" customWidth="1"/>
    <col min="7423" max="7427" width="9.6640625" style="77" bestFit="1" customWidth="1"/>
    <col min="7428" max="7669" width="9.33203125" style="77"/>
    <col min="7670" max="7670" width="2" style="77" customWidth="1"/>
    <col min="7671" max="7671" width="5.6640625" style="77" bestFit="1" customWidth="1"/>
    <col min="7672" max="7672" width="26.5546875" style="77" customWidth="1"/>
    <col min="7673" max="7676" width="0" style="77" hidden="1" customWidth="1"/>
    <col min="7677" max="7677" width="9.6640625" style="77" bestFit="1" customWidth="1"/>
    <col min="7678" max="7678" width="0" style="77" hidden="1" customWidth="1"/>
    <col min="7679" max="7683" width="9.6640625" style="77" bestFit="1" customWidth="1"/>
    <col min="7684" max="7925" width="9.33203125" style="77"/>
    <col min="7926" max="7926" width="2" style="77" customWidth="1"/>
    <col min="7927" max="7927" width="5.6640625" style="77" bestFit="1" customWidth="1"/>
    <col min="7928" max="7928" width="26.5546875" style="77" customWidth="1"/>
    <col min="7929" max="7932" width="0" style="77" hidden="1" customWidth="1"/>
    <col min="7933" max="7933" width="9.6640625" style="77" bestFit="1" customWidth="1"/>
    <col min="7934" max="7934" width="0" style="77" hidden="1" customWidth="1"/>
    <col min="7935" max="7939" width="9.6640625" style="77" bestFit="1" customWidth="1"/>
    <col min="7940" max="8181" width="9.33203125" style="77"/>
    <col min="8182" max="8182" width="2" style="77" customWidth="1"/>
    <col min="8183" max="8183" width="5.6640625" style="77" bestFit="1" customWidth="1"/>
    <col min="8184" max="8184" width="26.5546875" style="77" customWidth="1"/>
    <col min="8185" max="8188" width="0" style="77" hidden="1" customWidth="1"/>
    <col min="8189" max="8189" width="9.6640625" style="77" bestFit="1" customWidth="1"/>
    <col min="8190" max="8190" width="0" style="77" hidden="1" customWidth="1"/>
    <col min="8191" max="8195" width="9.6640625" style="77" bestFit="1" customWidth="1"/>
    <col min="8196" max="8437" width="9.33203125" style="77"/>
    <col min="8438" max="8438" width="2" style="77" customWidth="1"/>
    <col min="8439" max="8439" width="5.6640625" style="77" bestFit="1" customWidth="1"/>
    <col min="8440" max="8440" width="26.5546875" style="77" customWidth="1"/>
    <col min="8441" max="8444" width="0" style="77" hidden="1" customWidth="1"/>
    <col min="8445" max="8445" width="9.6640625" style="77" bestFit="1" customWidth="1"/>
    <col min="8446" max="8446" width="0" style="77" hidden="1" customWidth="1"/>
    <col min="8447" max="8451" width="9.6640625" style="77" bestFit="1" customWidth="1"/>
    <col min="8452" max="8693" width="9.33203125" style="77"/>
    <col min="8694" max="8694" width="2" style="77" customWidth="1"/>
    <col min="8695" max="8695" width="5.6640625" style="77" bestFit="1" customWidth="1"/>
    <col min="8696" max="8696" width="26.5546875" style="77" customWidth="1"/>
    <col min="8697" max="8700" width="0" style="77" hidden="1" customWidth="1"/>
    <col min="8701" max="8701" width="9.6640625" style="77" bestFit="1" customWidth="1"/>
    <col min="8702" max="8702" width="0" style="77" hidden="1" customWidth="1"/>
    <col min="8703" max="8707" width="9.6640625" style="77" bestFit="1" customWidth="1"/>
    <col min="8708" max="8949" width="9.33203125" style="77"/>
    <col min="8950" max="8950" width="2" style="77" customWidth="1"/>
    <col min="8951" max="8951" width="5.6640625" style="77" bestFit="1" customWidth="1"/>
    <col min="8952" max="8952" width="26.5546875" style="77" customWidth="1"/>
    <col min="8953" max="8956" width="0" style="77" hidden="1" customWidth="1"/>
    <col min="8957" max="8957" width="9.6640625" style="77" bestFit="1" customWidth="1"/>
    <col min="8958" max="8958" width="0" style="77" hidden="1" customWidth="1"/>
    <col min="8959" max="8963" width="9.6640625" style="77" bestFit="1" customWidth="1"/>
    <col min="8964" max="9205" width="9.33203125" style="77"/>
    <col min="9206" max="9206" width="2" style="77" customWidth="1"/>
    <col min="9207" max="9207" width="5.6640625" style="77" bestFit="1" customWidth="1"/>
    <col min="9208" max="9208" width="26.5546875" style="77" customWidth="1"/>
    <col min="9209" max="9212" width="0" style="77" hidden="1" customWidth="1"/>
    <col min="9213" max="9213" width="9.6640625" style="77" bestFit="1" customWidth="1"/>
    <col min="9214" max="9214" width="0" style="77" hidden="1" customWidth="1"/>
    <col min="9215" max="9219" width="9.6640625" style="77" bestFit="1" customWidth="1"/>
    <col min="9220" max="9461" width="9.33203125" style="77"/>
    <col min="9462" max="9462" width="2" style="77" customWidth="1"/>
    <col min="9463" max="9463" width="5.6640625" style="77" bestFit="1" customWidth="1"/>
    <col min="9464" max="9464" width="26.5546875" style="77" customWidth="1"/>
    <col min="9465" max="9468" width="0" style="77" hidden="1" customWidth="1"/>
    <col min="9469" max="9469" width="9.6640625" style="77" bestFit="1" customWidth="1"/>
    <col min="9470" max="9470" width="0" style="77" hidden="1" customWidth="1"/>
    <col min="9471" max="9475" width="9.6640625" style="77" bestFit="1" customWidth="1"/>
    <col min="9476" max="9717" width="9.33203125" style="77"/>
    <col min="9718" max="9718" width="2" style="77" customWidth="1"/>
    <col min="9719" max="9719" width="5.6640625" style="77" bestFit="1" customWidth="1"/>
    <col min="9720" max="9720" width="26.5546875" style="77" customWidth="1"/>
    <col min="9721" max="9724" width="0" style="77" hidden="1" customWidth="1"/>
    <col min="9725" max="9725" width="9.6640625" style="77" bestFit="1" customWidth="1"/>
    <col min="9726" max="9726" width="0" style="77" hidden="1" customWidth="1"/>
    <col min="9727" max="9731" width="9.6640625" style="77" bestFit="1" customWidth="1"/>
    <col min="9732" max="9973" width="9.33203125" style="77"/>
    <col min="9974" max="9974" width="2" style="77" customWidth="1"/>
    <col min="9975" max="9975" width="5.6640625" style="77" bestFit="1" customWidth="1"/>
    <col min="9976" max="9976" width="26.5546875" style="77" customWidth="1"/>
    <col min="9977" max="9980" width="0" style="77" hidden="1" customWidth="1"/>
    <col min="9981" max="9981" width="9.6640625" style="77" bestFit="1" customWidth="1"/>
    <col min="9982" max="9982" width="0" style="77" hidden="1" customWidth="1"/>
    <col min="9983" max="9987" width="9.6640625" style="77" bestFit="1" customWidth="1"/>
    <col min="9988" max="10229" width="9.33203125" style="77"/>
    <col min="10230" max="10230" width="2" style="77" customWidth="1"/>
    <col min="10231" max="10231" width="5.6640625" style="77" bestFit="1" customWidth="1"/>
    <col min="10232" max="10232" width="26.5546875" style="77" customWidth="1"/>
    <col min="10233" max="10236" width="0" style="77" hidden="1" customWidth="1"/>
    <col min="10237" max="10237" width="9.6640625" style="77" bestFit="1" customWidth="1"/>
    <col min="10238" max="10238" width="0" style="77" hidden="1" customWidth="1"/>
    <col min="10239" max="10243" width="9.6640625" style="77" bestFit="1" customWidth="1"/>
    <col min="10244" max="10485" width="9.33203125" style="77"/>
    <col min="10486" max="10486" width="2" style="77" customWidth="1"/>
    <col min="10487" max="10487" width="5.6640625" style="77" bestFit="1" customWidth="1"/>
    <col min="10488" max="10488" width="26.5546875" style="77" customWidth="1"/>
    <col min="10489" max="10492" width="0" style="77" hidden="1" customWidth="1"/>
    <col min="10493" max="10493" width="9.6640625" style="77" bestFit="1" customWidth="1"/>
    <col min="10494" max="10494" width="0" style="77" hidden="1" customWidth="1"/>
    <col min="10495" max="10499" width="9.6640625" style="77" bestFit="1" customWidth="1"/>
    <col min="10500" max="10741" width="9.33203125" style="77"/>
    <col min="10742" max="10742" width="2" style="77" customWidth="1"/>
    <col min="10743" max="10743" width="5.6640625" style="77" bestFit="1" customWidth="1"/>
    <col min="10744" max="10744" width="26.5546875" style="77" customWidth="1"/>
    <col min="10745" max="10748" width="0" style="77" hidden="1" customWidth="1"/>
    <col min="10749" max="10749" width="9.6640625" style="77" bestFit="1" customWidth="1"/>
    <col min="10750" max="10750" width="0" style="77" hidden="1" customWidth="1"/>
    <col min="10751" max="10755" width="9.6640625" style="77" bestFit="1" customWidth="1"/>
    <col min="10756" max="10997" width="9.33203125" style="77"/>
    <col min="10998" max="10998" width="2" style="77" customWidth="1"/>
    <col min="10999" max="10999" width="5.6640625" style="77" bestFit="1" customWidth="1"/>
    <col min="11000" max="11000" width="26.5546875" style="77" customWidth="1"/>
    <col min="11001" max="11004" width="0" style="77" hidden="1" customWidth="1"/>
    <col min="11005" max="11005" width="9.6640625" style="77" bestFit="1" customWidth="1"/>
    <col min="11006" max="11006" width="0" style="77" hidden="1" customWidth="1"/>
    <col min="11007" max="11011" width="9.6640625" style="77" bestFit="1" customWidth="1"/>
    <col min="11012" max="11253" width="9.33203125" style="77"/>
    <col min="11254" max="11254" width="2" style="77" customWidth="1"/>
    <col min="11255" max="11255" width="5.6640625" style="77" bestFit="1" customWidth="1"/>
    <col min="11256" max="11256" width="26.5546875" style="77" customWidth="1"/>
    <col min="11257" max="11260" width="0" style="77" hidden="1" customWidth="1"/>
    <col min="11261" max="11261" width="9.6640625" style="77" bestFit="1" customWidth="1"/>
    <col min="11262" max="11262" width="0" style="77" hidden="1" customWidth="1"/>
    <col min="11263" max="11267" width="9.6640625" style="77" bestFit="1" customWidth="1"/>
    <col min="11268" max="11509" width="9.33203125" style="77"/>
    <col min="11510" max="11510" width="2" style="77" customWidth="1"/>
    <col min="11511" max="11511" width="5.6640625" style="77" bestFit="1" customWidth="1"/>
    <col min="11512" max="11512" width="26.5546875" style="77" customWidth="1"/>
    <col min="11513" max="11516" width="0" style="77" hidden="1" customWidth="1"/>
    <col min="11517" max="11517" width="9.6640625" style="77" bestFit="1" customWidth="1"/>
    <col min="11518" max="11518" width="0" style="77" hidden="1" customWidth="1"/>
    <col min="11519" max="11523" width="9.6640625" style="77" bestFit="1" customWidth="1"/>
    <col min="11524" max="11765" width="9.33203125" style="77"/>
    <col min="11766" max="11766" width="2" style="77" customWidth="1"/>
    <col min="11767" max="11767" width="5.6640625" style="77" bestFit="1" customWidth="1"/>
    <col min="11768" max="11768" width="26.5546875" style="77" customWidth="1"/>
    <col min="11769" max="11772" width="0" style="77" hidden="1" customWidth="1"/>
    <col min="11773" max="11773" width="9.6640625" style="77" bestFit="1" customWidth="1"/>
    <col min="11774" max="11774" width="0" style="77" hidden="1" customWidth="1"/>
    <col min="11775" max="11779" width="9.6640625" style="77" bestFit="1" customWidth="1"/>
    <col min="11780" max="12021" width="9.33203125" style="77"/>
    <col min="12022" max="12022" width="2" style="77" customWidth="1"/>
    <col min="12023" max="12023" width="5.6640625" style="77" bestFit="1" customWidth="1"/>
    <col min="12024" max="12024" width="26.5546875" style="77" customWidth="1"/>
    <col min="12025" max="12028" width="0" style="77" hidden="1" customWidth="1"/>
    <col min="12029" max="12029" width="9.6640625" style="77" bestFit="1" customWidth="1"/>
    <col min="12030" max="12030" width="0" style="77" hidden="1" customWidth="1"/>
    <col min="12031" max="12035" width="9.6640625" style="77" bestFit="1" customWidth="1"/>
    <col min="12036" max="12277" width="9.33203125" style="77"/>
    <col min="12278" max="12278" width="2" style="77" customWidth="1"/>
    <col min="12279" max="12279" width="5.6640625" style="77" bestFit="1" customWidth="1"/>
    <col min="12280" max="12280" width="26.5546875" style="77" customWidth="1"/>
    <col min="12281" max="12284" width="0" style="77" hidden="1" customWidth="1"/>
    <col min="12285" max="12285" width="9.6640625" style="77" bestFit="1" customWidth="1"/>
    <col min="12286" max="12286" width="0" style="77" hidden="1" customWidth="1"/>
    <col min="12287" max="12291" width="9.6640625" style="77" bestFit="1" customWidth="1"/>
    <col min="12292" max="12533" width="9.33203125" style="77"/>
    <col min="12534" max="12534" width="2" style="77" customWidth="1"/>
    <col min="12535" max="12535" width="5.6640625" style="77" bestFit="1" customWidth="1"/>
    <col min="12536" max="12536" width="26.5546875" style="77" customWidth="1"/>
    <col min="12537" max="12540" width="0" style="77" hidden="1" customWidth="1"/>
    <col min="12541" max="12541" width="9.6640625" style="77" bestFit="1" customWidth="1"/>
    <col min="12542" max="12542" width="0" style="77" hidden="1" customWidth="1"/>
    <col min="12543" max="12547" width="9.6640625" style="77" bestFit="1" customWidth="1"/>
    <col min="12548" max="12789" width="9.33203125" style="77"/>
    <col min="12790" max="12790" width="2" style="77" customWidth="1"/>
    <col min="12791" max="12791" width="5.6640625" style="77" bestFit="1" customWidth="1"/>
    <col min="12792" max="12792" width="26.5546875" style="77" customWidth="1"/>
    <col min="12793" max="12796" width="0" style="77" hidden="1" customWidth="1"/>
    <col min="12797" max="12797" width="9.6640625" style="77" bestFit="1" customWidth="1"/>
    <col min="12798" max="12798" width="0" style="77" hidden="1" customWidth="1"/>
    <col min="12799" max="12803" width="9.6640625" style="77" bestFit="1" customWidth="1"/>
    <col min="12804" max="13045" width="9.33203125" style="77"/>
    <col min="13046" max="13046" width="2" style="77" customWidth="1"/>
    <col min="13047" max="13047" width="5.6640625" style="77" bestFit="1" customWidth="1"/>
    <col min="13048" max="13048" width="26.5546875" style="77" customWidth="1"/>
    <col min="13049" max="13052" width="0" style="77" hidden="1" customWidth="1"/>
    <col min="13053" max="13053" width="9.6640625" style="77" bestFit="1" customWidth="1"/>
    <col min="13054" max="13054" width="0" style="77" hidden="1" customWidth="1"/>
    <col min="13055" max="13059" width="9.6640625" style="77" bestFit="1" customWidth="1"/>
    <col min="13060" max="13301" width="9.33203125" style="77"/>
    <col min="13302" max="13302" width="2" style="77" customWidth="1"/>
    <col min="13303" max="13303" width="5.6640625" style="77" bestFit="1" customWidth="1"/>
    <col min="13304" max="13304" width="26.5546875" style="77" customWidth="1"/>
    <col min="13305" max="13308" width="0" style="77" hidden="1" customWidth="1"/>
    <col min="13309" max="13309" width="9.6640625" style="77" bestFit="1" customWidth="1"/>
    <col min="13310" max="13310" width="0" style="77" hidden="1" customWidth="1"/>
    <col min="13311" max="13315" width="9.6640625" style="77" bestFit="1" customWidth="1"/>
    <col min="13316" max="13557" width="9.33203125" style="77"/>
    <col min="13558" max="13558" width="2" style="77" customWidth="1"/>
    <col min="13559" max="13559" width="5.6640625" style="77" bestFit="1" customWidth="1"/>
    <col min="13560" max="13560" width="26.5546875" style="77" customWidth="1"/>
    <col min="13561" max="13564" width="0" style="77" hidden="1" customWidth="1"/>
    <col min="13565" max="13565" width="9.6640625" style="77" bestFit="1" customWidth="1"/>
    <col min="13566" max="13566" width="0" style="77" hidden="1" customWidth="1"/>
    <col min="13567" max="13571" width="9.6640625" style="77" bestFit="1" customWidth="1"/>
    <col min="13572" max="13813" width="9.33203125" style="77"/>
    <col min="13814" max="13814" width="2" style="77" customWidth="1"/>
    <col min="13815" max="13815" width="5.6640625" style="77" bestFit="1" customWidth="1"/>
    <col min="13816" max="13816" width="26.5546875" style="77" customWidth="1"/>
    <col min="13817" max="13820" width="0" style="77" hidden="1" customWidth="1"/>
    <col min="13821" max="13821" width="9.6640625" style="77" bestFit="1" customWidth="1"/>
    <col min="13822" max="13822" width="0" style="77" hidden="1" customWidth="1"/>
    <col min="13823" max="13827" width="9.6640625" style="77" bestFit="1" customWidth="1"/>
    <col min="13828" max="14069" width="9.33203125" style="77"/>
    <col min="14070" max="14070" width="2" style="77" customWidth="1"/>
    <col min="14071" max="14071" width="5.6640625" style="77" bestFit="1" customWidth="1"/>
    <col min="14072" max="14072" width="26.5546875" style="77" customWidth="1"/>
    <col min="14073" max="14076" width="0" style="77" hidden="1" customWidth="1"/>
    <col min="14077" max="14077" width="9.6640625" style="77" bestFit="1" customWidth="1"/>
    <col min="14078" max="14078" width="0" style="77" hidden="1" customWidth="1"/>
    <col min="14079" max="14083" width="9.6640625" style="77" bestFit="1" customWidth="1"/>
    <col min="14084" max="14325" width="9.33203125" style="77"/>
    <col min="14326" max="14326" width="2" style="77" customWidth="1"/>
    <col min="14327" max="14327" width="5.6640625" style="77" bestFit="1" customWidth="1"/>
    <col min="14328" max="14328" width="26.5546875" style="77" customWidth="1"/>
    <col min="14329" max="14332" width="0" style="77" hidden="1" customWidth="1"/>
    <col min="14333" max="14333" width="9.6640625" style="77" bestFit="1" customWidth="1"/>
    <col min="14334" max="14334" width="0" style="77" hidden="1" customWidth="1"/>
    <col min="14335" max="14339" width="9.6640625" style="77" bestFit="1" customWidth="1"/>
    <col min="14340" max="14581" width="9.33203125" style="77"/>
    <col min="14582" max="14582" width="2" style="77" customWidth="1"/>
    <col min="14583" max="14583" width="5.6640625" style="77" bestFit="1" customWidth="1"/>
    <col min="14584" max="14584" width="26.5546875" style="77" customWidth="1"/>
    <col min="14585" max="14588" width="0" style="77" hidden="1" customWidth="1"/>
    <col min="14589" max="14589" width="9.6640625" style="77" bestFit="1" customWidth="1"/>
    <col min="14590" max="14590" width="0" style="77" hidden="1" customWidth="1"/>
    <col min="14591" max="14595" width="9.6640625" style="77" bestFit="1" customWidth="1"/>
    <col min="14596" max="14837" width="9.33203125" style="77"/>
    <col min="14838" max="14838" width="2" style="77" customWidth="1"/>
    <col min="14839" max="14839" width="5.6640625" style="77" bestFit="1" customWidth="1"/>
    <col min="14840" max="14840" width="26.5546875" style="77" customWidth="1"/>
    <col min="14841" max="14844" width="0" style="77" hidden="1" customWidth="1"/>
    <col min="14845" max="14845" width="9.6640625" style="77" bestFit="1" customWidth="1"/>
    <col min="14846" max="14846" width="0" style="77" hidden="1" customWidth="1"/>
    <col min="14847" max="14851" width="9.6640625" style="77" bestFit="1" customWidth="1"/>
    <col min="14852" max="15093" width="9.33203125" style="77"/>
    <col min="15094" max="15094" width="2" style="77" customWidth="1"/>
    <col min="15095" max="15095" width="5.6640625" style="77" bestFit="1" customWidth="1"/>
    <col min="15096" max="15096" width="26.5546875" style="77" customWidth="1"/>
    <col min="15097" max="15100" width="0" style="77" hidden="1" customWidth="1"/>
    <col min="15101" max="15101" width="9.6640625" style="77" bestFit="1" customWidth="1"/>
    <col min="15102" max="15102" width="0" style="77" hidden="1" customWidth="1"/>
    <col min="15103" max="15107" width="9.6640625" style="77" bestFit="1" customWidth="1"/>
    <col min="15108" max="15349" width="9.33203125" style="77"/>
    <col min="15350" max="15350" width="2" style="77" customWidth="1"/>
    <col min="15351" max="15351" width="5.6640625" style="77" bestFit="1" customWidth="1"/>
    <col min="15352" max="15352" width="26.5546875" style="77" customWidth="1"/>
    <col min="15353" max="15356" width="0" style="77" hidden="1" customWidth="1"/>
    <col min="15357" max="15357" width="9.6640625" style="77" bestFit="1" customWidth="1"/>
    <col min="15358" max="15358" width="0" style="77" hidden="1" customWidth="1"/>
    <col min="15359" max="15363" width="9.6640625" style="77" bestFit="1" customWidth="1"/>
    <col min="15364" max="15605" width="9.33203125" style="77"/>
    <col min="15606" max="15606" width="2" style="77" customWidth="1"/>
    <col min="15607" max="15607" width="5.6640625" style="77" bestFit="1" customWidth="1"/>
    <col min="15608" max="15608" width="26.5546875" style="77" customWidth="1"/>
    <col min="15609" max="15612" width="0" style="77" hidden="1" customWidth="1"/>
    <col min="15613" max="15613" width="9.6640625" style="77" bestFit="1" customWidth="1"/>
    <col min="15614" max="15614" width="0" style="77" hidden="1" customWidth="1"/>
    <col min="15615" max="15619" width="9.6640625" style="77" bestFit="1" customWidth="1"/>
    <col min="15620" max="15861" width="9.33203125" style="77"/>
    <col min="15862" max="15862" width="2" style="77" customWidth="1"/>
    <col min="15863" max="15863" width="5.6640625" style="77" bestFit="1" customWidth="1"/>
    <col min="15864" max="15864" width="26.5546875" style="77" customWidth="1"/>
    <col min="15865" max="15868" width="0" style="77" hidden="1" customWidth="1"/>
    <col min="15869" max="15869" width="9.6640625" style="77" bestFit="1" customWidth="1"/>
    <col min="15870" max="15870" width="0" style="77" hidden="1" customWidth="1"/>
    <col min="15871" max="15875" width="9.6640625" style="77" bestFit="1" customWidth="1"/>
    <col min="15876" max="16117" width="9.33203125" style="77"/>
    <col min="16118" max="16118" width="2" style="77" customWidth="1"/>
    <col min="16119" max="16119" width="5.6640625" style="77" bestFit="1" customWidth="1"/>
    <col min="16120" max="16120" width="26.5546875" style="77" customWidth="1"/>
    <col min="16121" max="16124" width="0" style="77" hidden="1" customWidth="1"/>
    <col min="16125" max="16125" width="9.6640625" style="77" bestFit="1" customWidth="1"/>
    <col min="16126" max="16126" width="0" style="77" hidden="1" customWidth="1"/>
    <col min="16127" max="16131" width="9.6640625" style="77" bestFit="1" customWidth="1"/>
    <col min="16132" max="16384" width="9.33203125" style="77"/>
  </cols>
  <sheetData>
    <row r="1" spans="1:102" x14ac:dyDescent="0.3">
      <c r="A1" s="103"/>
      <c r="B1" s="84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</row>
    <row r="2" spans="1:102" s="103" customFormat="1" ht="12.75" customHeight="1" x14ac:dyDescent="0.3">
      <c r="B2" s="617" t="s">
        <v>457</v>
      </c>
      <c r="C2" s="617"/>
      <c r="D2" s="617"/>
      <c r="E2" s="617"/>
      <c r="F2" s="617"/>
      <c r="G2" s="617"/>
    </row>
    <row r="3" spans="1:102" s="103" customFormat="1" ht="12.75" customHeight="1" x14ac:dyDescent="0.3">
      <c r="B3" s="617" t="s">
        <v>578</v>
      </c>
      <c r="C3" s="617"/>
      <c r="D3" s="617"/>
      <c r="E3" s="617"/>
      <c r="F3" s="617"/>
      <c r="G3" s="617"/>
    </row>
    <row r="4" spans="1:102" s="103" customFormat="1" ht="12.75" customHeight="1" x14ac:dyDescent="0.3">
      <c r="B4" s="617" t="str">
        <f>'F6 (2)'!B4:D4</f>
        <v>CHHATTISGARH STATE POWER TRANSMISSION COMPANY LIMITED</v>
      </c>
      <c r="C4" s="617"/>
      <c r="D4" s="617"/>
      <c r="E4" s="617"/>
      <c r="F4" s="617"/>
      <c r="G4" s="617"/>
    </row>
    <row r="5" spans="1:102" s="103" customFormat="1" ht="27.6" x14ac:dyDescent="0.3">
      <c r="B5" s="550" t="str">
        <f>'F1 (2)'!B5</f>
        <v>Sr. No</v>
      </c>
      <c r="C5" s="550" t="str">
        <f>'F1 (2)'!C5</f>
        <v>Particulars</v>
      </c>
      <c r="D5" s="552" t="s">
        <v>26</v>
      </c>
      <c r="E5" s="552" t="s">
        <v>27</v>
      </c>
      <c r="F5" s="552" t="s">
        <v>28</v>
      </c>
      <c r="G5" s="552" t="s">
        <v>29</v>
      </c>
    </row>
    <row r="6" spans="1:102" s="103" customFormat="1" x14ac:dyDescent="0.3">
      <c r="B6" s="331">
        <v>1</v>
      </c>
      <c r="C6" s="334" t="s">
        <v>579</v>
      </c>
      <c r="D6" s="346"/>
      <c r="E6" s="331"/>
      <c r="F6" s="334"/>
      <c r="G6" s="334"/>
    </row>
    <row r="7" spans="1:102" s="103" customFormat="1" x14ac:dyDescent="0.3">
      <c r="B7" s="331" t="s">
        <v>249</v>
      </c>
      <c r="C7" s="334" t="s">
        <v>580</v>
      </c>
      <c r="D7" s="346">
        <f>'F5'!I11</f>
        <v>4131.7862290340008</v>
      </c>
      <c r="E7" s="347">
        <f>'F5'!K11</f>
        <v>4699.6880671877307</v>
      </c>
      <c r="F7" s="333">
        <f>'F5'!M11</f>
        <v>5096.4480671877309</v>
      </c>
      <c r="G7" s="333">
        <f>'F5'!O11</f>
        <v>5435.8814643877295</v>
      </c>
    </row>
    <row r="8" spans="1:102" s="103" customFormat="1" ht="27.6" x14ac:dyDescent="0.3">
      <c r="B8" s="331" t="s">
        <v>251</v>
      </c>
      <c r="C8" s="334" t="s">
        <v>581</v>
      </c>
      <c r="D8" s="346">
        <f>'F5'!I46</f>
        <v>1052.1278687102003</v>
      </c>
      <c r="E8" s="347">
        <f>'F5'!K46</f>
        <v>1222.4984201563193</v>
      </c>
      <c r="F8" s="333">
        <f>'F5'!M46</f>
        <v>1339.1324201563193</v>
      </c>
      <c r="G8" s="333">
        <f>'F5'!O46</f>
        <v>1440.962439316319</v>
      </c>
    </row>
    <row r="9" spans="1:102" s="103" customFormat="1" x14ac:dyDescent="0.3">
      <c r="B9" s="331"/>
      <c r="C9" s="334"/>
      <c r="D9" s="346"/>
      <c r="E9" s="331"/>
      <c r="F9" s="333"/>
      <c r="G9" s="333"/>
    </row>
    <row r="10" spans="1:102" s="103" customFormat="1" ht="27.6" x14ac:dyDescent="0.3">
      <c r="B10" s="331">
        <v>2</v>
      </c>
      <c r="C10" s="334" t="s">
        <v>582</v>
      </c>
      <c r="D10" s="348">
        <f>'F5'!I11</f>
        <v>4131.7862290340008</v>
      </c>
      <c r="E10" s="347">
        <f>'F5'!K11</f>
        <v>4699.6880671877307</v>
      </c>
      <c r="F10" s="333">
        <f>'F5'!M11</f>
        <v>5096.4480671877309</v>
      </c>
      <c r="G10" s="333">
        <f>'F5'!O11</f>
        <v>5435.8814643877295</v>
      </c>
    </row>
    <row r="11" spans="1:102" s="103" customFormat="1" x14ac:dyDescent="0.3">
      <c r="B11" s="331" t="s">
        <v>249</v>
      </c>
      <c r="C11" s="334" t="s">
        <v>583</v>
      </c>
      <c r="D11" s="348">
        <f>'F5'!I14</f>
        <v>567.90183815372984</v>
      </c>
      <c r="E11" s="339">
        <f>'F5'!K14</f>
        <v>396.76</v>
      </c>
      <c r="F11" s="333">
        <f>'F5'!M14</f>
        <v>339.43339719999858</v>
      </c>
      <c r="G11" s="333">
        <f>'F5'!O14</f>
        <v>134.82529275899878</v>
      </c>
    </row>
    <row r="12" spans="1:102" s="103" customFormat="1" x14ac:dyDescent="0.3">
      <c r="B12" s="331" t="s">
        <v>251</v>
      </c>
      <c r="C12" s="334" t="s">
        <v>584</v>
      </c>
      <c r="D12" s="348">
        <f>D10+D11</f>
        <v>4699.6880671877307</v>
      </c>
      <c r="E12" s="348">
        <f>E10+E11</f>
        <v>5096.4480671877309</v>
      </c>
      <c r="F12" s="470">
        <f>F10+F11</f>
        <v>5435.8814643877295</v>
      </c>
      <c r="G12" s="333">
        <f>'F5'!O17</f>
        <v>5570.7067571467287</v>
      </c>
    </row>
    <row r="13" spans="1:102" s="103" customFormat="1" x14ac:dyDescent="0.3">
      <c r="B13" s="331"/>
      <c r="C13" s="334"/>
      <c r="D13" s="346"/>
      <c r="E13" s="331"/>
      <c r="F13" s="333"/>
      <c r="G13" s="333"/>
    </row>
    <row r="14" spans="1:102" s="103" customFormat="1" ht="27.6" x14ac:dyDescent="0.3">
      <c r="B14" s="331">
        <v>3</v>
      </c>
      <c r="C14" s="334" t="s">
        <v>585</v>
      </c>
      <c r="D14" s="346"/>
      <c r="E14" s="331"/>
      <c r="F14" s="333"/>
      <c r="G14" s="333"/>
    </row>
    <row r="15" spans="1:102" s="103" customFormat="1" x14ac:dyDescent="0.3">
      <c r="B15" s="331" t="s">
        <v>249</v>
      </c>
      <c r="C15" s="334" t="s">
        <v>586</v>
      </c>
      <c r="D15" s="346">
        <f>D8</f>
        <v>1052.1278687102003</v>
      </c>
      <c r="E15" s="347">
        <f>D17</f>
        <v>1222.4984201563193</v>
      </c>
      <c r="F15" s="333">
        <f>'F5'!M46</f>
        <v>1339.1324201563193</v>
      </c>
      <c r="G15" s="333">
        <f>'F5'!O46</f>
        <v>1440.962439316319</v>
      </c>
    </row>
    <row r="16" spans="1:102" s="103" customFormat="1" x14ac:dyDescent="0.3">
      <c r="B16" s="331" t="s">
        <v>251</v>
      </c>
      <c r="C16" s="334" t="s">
        <v>587</v>
      </c>
      <c r="D16" s="348">
        <f>D11*30%</f>
        <v>170.37055144611895</v>
      </c>
      <c r="E16" s="348">
        <f>E11*30%</f>
        <v>119.02799999999999</v>
      </c>
      <c r="F16" s="470">
        <f>F11*30%</f>
        <v>101.83001915999957</v>
      </c>
      <c r="G16" s="470">
        <f>G11*30%</f>
        <v>40.447587827699635</v>
      </c>
    </row>
    <row r="17" spans="2:7" s="103" customFormat="1" x14ac:dyDescent="0.3">
      <c r="B17" s="331" t="s">
        <v>588</v>
      </c>
      <c r="C17" s="332" t="s">
        <v>589</v>
      </c>
      <c r="D17" s="348">
        <f>D16+D8</f>
        <v>1222.4984201563193</v>
      </c>
      <c r="E17" s="348">
        <f>E16+E8</f>
        <v>1341.5264201563193</v>
      </c>
      <c r="F17" s="470">
        <f>F16+F8</f>
        <v>1440.962439316319</v>
      </c>
      <c r="G17" s="333">
        <f>'F5'!O47</f>
        <v>1481.4100271440188</v>
      </c>
    </row>
    <row r="18" spans="2:7" s="103" customFormat="1" x14ac:dyDescent="0.3">
      <c r="B18" s="331"/>
      <c r="C18" s="334"/>
      <c r="D18" s="346"/>
      <c r="E18" s="331"/>
      <c r="F18" s="333"/>
      <c r="G18" s="333"/>
    </row>
    <row r="19" spans="2:7" s="103" customFormat="1" ht="27.6" x14ac:dyDescent="0.3">
      <c r="B19" s="331">
        <v>4</v>
      </c>
      <c r="C19" s="334" t="s">
        <v>590</v>
      </c>
      <c r="D19" s="346">
        <f>'F5'!I48</f>
        <v>1137.3131444332598</v>
      </c>
      <c r="E19" s="339">
        <f>'F5'!K48</f>
        <v>1280.8154201563193</v>
      </c>
      <c r="F19" s="333">
        <f>AVERAGE(F15,F17)</f>
        <v>1390.0474297363191</v>
      </c>
      <c r="G19" s="333">
        <f>AVERAGE(G15,G17)</f>
        <v>1461.1862332301689</v>
      </c>
    </row>
    <row r="20" spans="2:7" s="103" customFormat="1" x14ac:dyDescent="0.3">
      <c r="B20" s="331"/>
      <c r="C20" s="334"/>
      <c r="D20" s="349"/>
      <c r="E20" s="331"/>
      <c r="F20" s="333"/>
      <c r="G20" s="333"/>
    </row>
    <row r="21" spans="2:7" s="103" customFormat="1" x14ac:dyDescent="0.3">
      <c r="B21" s="331">
        <v>5</v>
      </c>
      <c r="C21" s="334" t="s">
        <v>591</v>
      </c>
      <c r="D21" s="349">
        <f>'F5'!I52</f>
        <v>0.155</v>
      </c>
      <c r="E21" s="349">
        <f>'F5'!K52</f>
        <v>0.155</v>
      </c>
      <c r="F21" s="349">
        <v>0.155</v>
      </c>
      <c r="G21" s="349">
        <v>0.155</v>
      </c>
    </row>
    <row r="22" spans="2:7" s="103" customFormat="1" x14ac:dyDescent="0.3">
      <c r="B22" s="331"/>
      <c r="C22" s="334"/>
      <c r="D22" s="349"/>
      <c r="E22" s="331"/>
      <c r="F22" s="333"/>
      <c r="G22" s="333"/>
    </row>
    <row r="23" spans="2:7" s="103" customFormat="1" x14ac:dyDescent="0.3">
      <c r="B23" s="335">
        <v>6</v>
      </c>
      <c r="C23" s="345" t="s">
        <v>47</v>
      </c>
      <c r="D23" s="350">
        <f>D19*D21</f>
        <v>176.28353738715526</v>
      </c>
      <c r="E23" s="350">
        <f>E19*E21</f>
        <v>198.52639012422949</v>
      </c>
      <c r="F23" s="471">
        <f>F19*F21</f>
        <v>215.45735160912946</v>
      </c>
      <c r="G23" s="337">
        <f>'F5'!O56</f>
        <v>226.48386615067619</v>
      </c>
    </row>
    <row r="24" spans="2:7" s="103" customFormat="1" x14ac:dyDescent="0.3">
      <c r="B24" s="84"/>
    </row>
    <row r="25" spans="2:7" x14ac:dyDescent="0.3">
      <c r="D25" s="196">
        <f>'F5'!I56</f>
        <v>176.28353738715526</v>
      </c>
    </row>
    <row r="26" spans="2:7" x14ac:dyDescent="0.3">
      <c r="D26" s="173">
        <f>D23-D25</f>
        <v>0</v>
      </c>
    </row>
  </sheetData>
  <mergeCells count="3">
    <mergeCell ref="B4:G4"/>
    <mergeCell ref="B3:G3"/>
    <mergeCell ref="B2:G2"/>
  </mergeCells>
  <pageMargins left="0.7" right="0.7" top="0.75" bottom="0.75" header="0.3" footer="0.3"/>
  <pageSetup scale="63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2:G26"/>
  <sheetViews>
    <sheetView showGridLines="0" zoomScaleNormal="100" zoomScaleSheetLayoutView="90" workbookViewId="0">
      <selection activeCell="G7" sqref="G7:G18"/>
    </sheetView>
  </sheetViews>
  <sheetFormatPr defaultRowHeight="13.8" x14ac:dyDescent="0.3"/>
  <cols>
    <col min="1" max="1" width="3.5546875" style="77" customWidth="1"/>
    <col min="2" max="2" width="7.5546875" style="92" customWidth="1"/>
    <col min="3" max="3" width="65.6640625" style="77" customWidth="1"/>
    <col min="4" max="6" width="10.88671875" style="77" hidden="1" customWidth="1"/>
    <col min="7" max="7" width="10.88671875" style="77" customWidth="1"/>
    <col min="8" max="250" width="9.33203125" style="77"/>
    <col min="251" max="251" width="3.5546875" style="77" customWidth="1"/>
    <col min="252" max="252" width="7.5546875" style="77" customWidth="1"/>
    <col min="253" max="253" width="65.6640625" style="77" customWidth="1"/>
    <col min="254" max="254" width="9.6640625" style="77" bestFit="1" customWidth="1"/>
    <col min="255" max="255" width="0" style="77" hidden="1" customWidth="1"/>
    <col min="256" max="260" width="9.6640625" style="77" bestFit="1" customWidth="1"/>
    <col min="261" max="506" width="9.33203125" style="77"/>
    <col min="507" max="507" width="3.5546875" style="77" customWidth="1"/>
    <col min="508" max="508" width="7.5546875" style="77" customWidth="1"/>
    <col min="509" max="509" width="65.6640625" style="77" customWidth="1"/>
    <col min="510" max="510" width="9.6640625" style="77" bestFit="1" customWidth="1"/>
    <col min="511" max="511" width="0" style="77" hidden="1" customWidth="1"/>
    <col min="512" max="516" width="9.6640625" style="77" bestFit="1" customWidth="1"/>
    <col min="517" max="762" width="9.33203125" style="77"/>
    <col min="763" max="763" width="3.5546875" style="77" customWidth="1"/>
    <col min="764" max="764" width="7.5546875" style="77" customWidth="1"/>
    <col min="765" max="765" width="65.6640625" style="77" customWidth="1"/>
    <col min="766" max="766" width="9.6640625" style="77" bestFit="1" customWidth="1"/>
    <col min="767" max="767" width="0" style="77" hidden="1" customWidth="1"/>
    <col min="768" max="772" width="9.6640625" style="77" bestFit="1" customWidth="1"/>
    <col min="773" max="1018" width="9.33203125" style="77"/>
    <col min="1019" max="1019" width="3.5546875" style="77" customWidth="1"/>
    <col min="1020" max="1020" width="7.5546875" style="77" customWidth="1"/>
    <col min="1021" max="1021" width="65.6640625" style="77" customWidth="1"/>
    <col min="1022" max="1022" width="9.6640625" style="77" bestFit="1" customWidth="1"/>
    <col min="1023" max="1023" width="0" style="77" hidden="1" customWidth="1"/>
    <col min="1024" max="1028" width="9.6640625" style="77" bestFit="1" customWidth="1"/>
    <col min="1029" max="1274" width="9.33203125" style="77"/>
    <col min="1275" max="1275" width="3.5546875" style="77" customWidth="1"/>
    <col min="1276" max="1276" width="7.5546875" style="77" customWidth="1"/>
    <col min="1277" max="1277" width="65.6640625" style="77" customWidth="1"/>
    <col min="1278" max="1278" width="9.6640625" style="77" bestFit="1" customWidth="1"/>
    <col min="1279" max="1279" width="0" style="77" hidden="1" customWidth="1"/>
    <col min="1280" max="1284" width="9.6640625" style="77" bestFit="1" customWidth="1"/>
    <col min="1285" max="1530" width="9.33203125" style="77"/>
    <col min="1531" max="1531" width="3.5546875" style="77" customWidth="1"/>
    <col min="1532" max="1532" width="7.5546875" style="77" customWidth="1"/>
    <col min="1533" max="1533" width="65.6640625" style="77" customWidth="1"/>
    <col min="1534" max="1534" width="9.6640625" style="77" bestFit="1" customWidth="1"/>
    <col min="1535" max="1535" width="0" style="77" hidden="1" customWidth="1"/>
    <col min="1536" max="1540" width="9.6640625" style="77" bestFit="1" customWidth="1"/>
    <col min="1541" max="1786" width="9.33203125" style="77"/>
    <col min="1787" max="1787" width="3.5546875" style="77" customWidth="1"/>
    <col min="1788" max="1788" width="7.5546875" style="77" customWidth="1"/>
    <col min="1789" max="1789" width="65.6640625" style="77" customWidth="1"/>
    <col min="1790" max="1790" width="9.6640625" style="77" bestFit="1" customWidth="1"/>
    <col min="1791" max="1791" width="0" style="77" hidden="1" customWidth="1"/>
    <col min="1792" max="1796" width="9.6640625" style="77" bestFit="1" customWidth="1"/>
    <col min="1797" max="2042" width="9.33203125" style="77"/>
    <col min="2043" max="2043" width="3.5546875" style="77" customWidth="1"/>
    <col min="2044" max="2044" width="7.5546875" style="77" customWidth="1"/>
    <col min="2045" max="2045" width="65.6640625" style="77" customWidth="1"/>
    <col min="2046" max="2046" width="9.6640625" style="77" bestFit="1" customWidth="1"/>
    <col min="2047" max="2047" width="0" style="77" hidden="1" customWidth="1"/>
    <col min="2048" max="2052" width="9.6640625" style="77" bestFit="1" customWidth="1"/>
    <col min="2053" max="2298" width="9.33203125" style="77"/>
    <col min="2299" max="2299" width="3.5546875" style="77" customWidth="1"/>
    <col min="2300" max="2300" width="7.5546875" style="77" customWidth="1"/>
    <col min="2301" max="2301" width="65.6640625" style="77" customWidth="1"/>
    <col min="2302" max="2302" width="9.6640625" style="77" bestFit="1" customWidth="1"/>
    <col min="2303" max="2303" width="0" style="77" hidden="1" customWidth="1"/>
    <col min="2304" max="2308" width="9.6640625" style="77" bestFit="1" customWidth="1"/>
    <col min="2309" max="2554" width="9.33203125" style="77"/>
    <col min="2555" max="2555" width="3.5546875" style="77" customWidth="1"/>
    <col min="2556" max="2556" width="7.5546875" style="77" customWidth="1"/>
    <col min="2557" max="2557" width="65.6640625" style="77" customWidth="1"/>
    <col min="2558" max="2558" width="9.6640625" style="77" bestFit="1" customWidth="1"/>
    <col min="2559" max="2559" width="0" style="77" hidden="1" customWidth="1"/>
    <col min="2560" max="2564" width="9.6640625" style="77" bestFit="1" customWidth="1"/>
    <col min="2565" max="2810" width="9.33203125" style="77"/>
    <col min="2811" max="2811" width="3.5546875" style="77" customWidth="1"/>
    <col min="2812" max="2812" width="7.5546875" style="77" customWidth="1"/>
    <col min="2813" max="2813" width="65.6640625" style="77" customWidth="1"/>
    <col min="2814" max="2814" width="9.6640625" style="77" bestFit="1" customWidth="1"/>
    <col min="2815" max="2815" width="0" style="77" hidden="1" customWidth="1"/>
    <col min="2816" max="2820" width="9.6640625" style="77" bestFit="1" customWidth="1"/>
    <col min="2821" max="3066" width="9.33203125" style="77"/>
    <col min="3067" max="3067" width="3.5546875" style="77" customWidth="1"/>
    <col min="3068" max="3068" width="7.5546875" style="77" customWidth="1"/>
    <col min="3069" max="3069" width="65.6640625" style="77" customWidth="1"/>
    <col min="3070" max="3070" width="9.6640625" style="77" bestFit="1" customWidth="1"/>
    <col min="3071" max="3071" width="0" style="77" hidden="1" customWidth="1"/>
    <col min="3072" max="3076" width="9.6640625" style="77" bestFit="1" customWidth="1"/>
    <col min="3077" max="3322" width="9.33203125" style="77"/>
    <col min="3323" max="3323" width="3.5546875" style="77" customWidth="1"/>
    <col min="3324" max="3324" width="7.5546875" style="77" customWidth="1"/>
    <col min="3325" max="3325" width="65.6640625" style="77" customWidth="1"/>
    <col min="3326" max="3326" width="9.6640625" style="77" bestFit="1" customWidth="1"/>
    <col min="3327" max="3327" width="0" style="77" hidden="1" customWidth="1"/>
    <col min="3328" max="3332" width="9.6640625" style="77" bestFit="1" customWidth="1"/>
    <col min="3333" max="3578" width="9.33203125" style="77"/>
    <col min="3579" max="3579" width="3.5546875" style="77" customWidth="1"/>
    <col min="3580" max="3580" width="7.5546875" style="77" customWidth="1"/>
    <col min="3581" max="3581" width="65.6640625" style="77" customWidth="1"/>
    <col min="3582" max="3582" width="9.6640625" style="77" bestFit="1" customWidth="1"/>
    <col min="3583" max="3583" width="0" style="77" hidden="1" customWidth="1"/>
    <col min="3584" max="3588" width="9.6640625" style="77" bestFit="1" customWidth="1"/>
    <col min="3589" max="3834" width="9.33203125" style="77"/>
    <col min="3835" max="3835" width="3.5546875" style="77" customWidth="1"/>
    <col min="3836" max="3836" width="7.5546875" style="77" customWidth="1"/>
    <col min="3837" max="3837" width="65.6640625" style="77" customWidth="1"/>
    <col min="3838" max="3838" width="9.6640625" style="77" bestFit="1" customWidth="1"/>
    <col min="3839" max="3839" width="0" style="77" hidden="1" customWidth="1"/>
    <col min="3840" max="3844" width="9.6640625" style="77" bestFit="1" customWidth="1"/>
    <col min="3845" max="4090" width="9.33203125" style="77"/>
    <col min="4091" max="4091" width="3.5546875" style="77" customWidth="1"/>
    <col min="4092" max="4092" width="7.5546875" style="77" customWidth="1"/>
    <col min="4093" max="4093" width="65.6640625" style="77" customWidth="1"/>
    <col min="4094" max="4094" width="9.6640625" style="77" bestFit="1" customWidth="1"/>
    <col min="4095" max="4095" width="0" style="77" hidden="1" customWidth="1"/>
    <col min="4096" max="4100" width="9.6640625" style="77" bestFit="1" customWidth="1"/>
    <col min="4101" max="4346" width="9.33203125" style="77"/>
    <col min="4347" max="4347" width="3.5546875" style="77" customWidth="1"/>
    <col min="4348" max="4348" width="7.5546875" style="77" customWidth="1"/>
    <col min="4349" max="4349" width="65.6640625" style="77" customWidth="1"/>
    <col min="4350" max="4350" width="9.6640625" style="77" bestFit="1" customWidth="1"/>
    <col min="4351" max="4351" width="0" style="77" hidden="1" customWidth="1"/>
    <col min="4352" max="4356" width="9.6640625" style="77" bestFit="1" customWidth="1"/>
    <col min="4357" max="4602" width="9.33203125" style="77"/>
    <col min="4603" max="4603" width="3.5546875" style="77" customWidth="1"/>
    <col min="4604" max="4604" width="7.5546875" style="77" customWidth="1"/>
    <col min="4605" max="4605" width="65.6640625" style="77" customWidth="1"/>
    <col min="4606" max="4606" width="9.6640625" style="77" bestFit="1" customWidth="1"/>
    <col min="4607" max="4607" width="0" style="77" hidden="1" customWidth="1"/>
    <col min="4608" max="4612" width="9.6640625" style="77" bestFit="1" customWidth="1"/>
    <col min="4613" max="4858" width="9.33203125" style="77"/>
    <col min="4859" max="4859" width="3.5546875" style="77" customWidth="1"/>
    <col min="4860" max="4860" width="7.5546875" style="77" customWidth="1"/>
    <col min="4861" max="4861" width="65.6640625" style="77" customWidth="1"/>
    <col min="4862" max="4862" width="9.6640625" style="77" bestFit="1" customWidth="1"/>
    <col min="4863" max="4863" width="0" style="77" hidden="1" customWidth="1"/>
    <col min="4864" max="4868" width="9.6640625" style="77" bestFit="1" customWidth="1"/>
    <col min="4869" max="5114" width="9.33203125" style="77"/>
    <col min="5115" max="5115" width="3.5546875" style="77" customWidth="1"/>
    <col min="5116" max="5116" width="7.5546875" style="77" customWidth="1"/>
    <col min="5117" max="5117" width="65.6640625" style="77" customWidth="1"/>
    <col min="5118" max="5118" width="9.6640625" style="77" bestFit="1" customWidth="1"/>
    <col min="5119" max="5119" width="0" style="77" hidden="1" customWidth="1"/>
    <col min="5120" max="5124" width="9.6640625" style="77" bestFit="1" customWidth="1"/>
    <col min="5125" max="5370" width="9.33203125" style="77"/>
    <col min="5371" max="5371" width="3.5546875" style="77" customWidth="1"/>
    <col min="5372" max="5372" width="7.5546875" style="77" customWidth="1"/>
    <col min="5373" max="5373" width="65.6640625" style="77" customWidth="1"/>
    <col min="5374" max="5374" width="9.6640625" style="77" bestFit="1" customWidth="1"/>
    <col min="5375" max="5375" width="0" style="77" hidden="1" customWidth="1"/>
    <col min="5376" max="5380" width="9.6640625" style="77" bestFit="1" customWidth="1"/>
    <col min="5381" max="5626" width="9.33203125" style="77"/>
    <col min="5627" max="5627" width="3.5546875" style="77" customWidth="1"/>
    <col min="5628" max="5628" width="7.5546875" style="77" customWidth="1"/>
    <col min="5629" max="5629" width="65.6640625" style="77" customWidth="1"/>
    <col min="5630" max="5630" width="9.6640625" style="77" bestFit="1" customWidth="1"/>
    <col min="5631" max="5631" width="0" style="77" hidden="1" customWidth="1"/>
    <col min="5632" max="5636" width="9.6640625" style="77" bestFit="1" customWidth="1"/>
    <col min="5637" max="5882" width="9.33203125" style="77"/>
    <col min="5883" max="5883" width="3.5546875" style="77" customWidth="1"/>
    <col min="5884" max="5884" width="7.5546875" style="77" customWidth="1"/>
    <col min="5885" max="5885" width="65.6640625" style="77" customWidth="1"/>
    <col min="5886" max="5886" width="9.6640625" style="77" bestFit="1" customWidth="1"/>
    <col min="5887" max="5887" width="0" style="77" hidden="1" customWidth="1"/>
    <col min="5888" max="5892" width="9.6640625" style="77" bestFit="1" customWidth="1"/>
    <col min="5893" max="6138" width="9.33203125" style="77"/>
    <col min="6139" max="6139" width="3.5546875" style="77" customWidth="1"/>
    <col min="6140" max="6140" width="7.5546875" style="77" customWidth="1"/>
    <col min="6141" max="6141" width="65.6640625" style="77" customWidth="1"/>
    <col min="6142" max="6142" width="9.6640625" style="77" bestFit="1" customWidth="1"/>
    <col min="6143" max="6143" width="0" style="77" hidden="1" customWidth="1"/>
    <col min="6144" max="6148" width="9.6640625" style="77" bestFit="1" customWidth="1"/>
    <col min="6149" max="6394" width="9.33203125" style="77"/>
    <col min="6395" max="6395" width="3.5546875" style="77" customWidth="1"/>
    <col min="6396" max="6396" width="7.5546875" style="77" customWidth="1"/>
    <col min="6397" max="6397" width="65.6640625" style="77" customWidth="1"/>
    <col min="6398" max="6398" width="9.6640625" style="77" bestFit="1" customWidth="1"/>
    <col min="6399" max="6399" width="0" style="77" hidden="1" customWidth="1"/>
    <col min="6400" max="6404" width="9.6640625" style="77" bestFit="1" customWidth="1"/>
    <col min="6405" max="6650" width="9.33203125" style="77"/>
    <col min="6651" max="6651" width="3.5546875" style="77" customWidth="1"/>
    <col min="6652" max="6652" width="7.5546875" style="77" customWidth="1"/>
    <col min="6653" max="6653" width="65.6640625" style="77" customWidth="1"/>
    <col min="6654" max="6654" width="9.6640625" style="77" bestFit="1" customWidth="1"/>
    <col min="6655" max="6655" width="0" style="77" hidden="1" customWidth="1"/>
    <col min="6656" max="6660" width="9.6640625" style="77" bestFit="1" customWidth="1"/>
    <col min="6661" max="6906" width="9.33203125" style="77"/>
    <col min="6907" max="6907" width="3.5546875" style="77" customWidth="1"/>
    <col min="6908" max="6908" width="7.5546875" style="77" customWidth="1"/>
    <col min="6909" max="6909" width="65.6640625" style="77" customWidth="1"/>
    <col min="6910" max="6910" width="9.6640625" style="77" bestFit="1" customWidth="1"/>
    <col min="6911" max="6911" width="0" style="77" hidden="1" customWidth="1"/>
    <col min="6912" max="6916" width="9.6640625" style="77" bestFit="1" customWidth="1"/>
    <col min="6917" max="7162" width="9.33203125" style="77"/>
    <col min="7163" max="7163" width="3.5546875" style="77" customWidth="1"/>
    <col min="7164" max="7164" width="7.5546875" style="77" customWidth="1"/>
    <col min="7165" max="7165" width="65.6640625" style="77" customWidth="1"/>
    <col min="7166" max="7166" width="9.6640625" style="77" bestFit="1" customWidth="1"/>
    <col min="7167" max="7167" width="0" style="77" hidden="1" customWidth="1"/>
    <col min="7168" max="7172" width="9.6640625" style="77" bestFit="1" customWidth="1"/>
    <col min="7173" max="7418" width="9.33203125" style="77"/>
    <col min="7419" max="7419" width="3.5546875" style="77" customWidth="1"/>
    <col min="7420" max="7420" width="7.5546875" style="77" customWidth="1"/>
    <col min="7421" max="7421" width="65.6640625" style="77" customWidth="1"/>
    <col min="7422" max="7422" width="9.6640625" style="77" bestFit="1" customWidth="1"/>
    <col min="7423" max="7423" width="0" style="77" hidden="1" customWidth="1"/>
    <col min="7424" max="7428" width="9.6640625" style="77" bestFit="1" customWidth="1"/>
    <col min="7429" max="7674" width="9.33203125" style="77"/>
    <col min="7675" max="7675" width="3.5546875" style="77" customWidth="1"/>
    <col min="7676" max="7676" width="7.5546875" style="77" customWidth="1"/>
    <col min="7677" max="7677" width="65.6640625" style="77" customWidth="1"/>
    <col min="7678" max="7678" width="9.6640625" style="77" bestFit="1" customWidth="1"/>
    <col min="7679" max="7679" width="0" style="77" hidden="1" customWidth="1"/>
    <col min="7680" max="7684" width="9.6640625" style="77" bestFit="1" customWidth="1"/>
    <col min="7685" max="7930" width="9.33203125" style="77"/>
    <col min="7931" max="7931" width="3.5546875" style="77" customWidth="1"/>
    <col min="7932" max="7932" width="7.5546875" style="77" customWidth="1"/>
    <col min="7933" max="7933" width="65.6640625" style="77" customWidth="1"/>
    <col min="7934" max="7934" width="9.6640625" style="77" bestFit="1" customWidth="1"/>
    <col min="7935" max="7935" width="0" style="77" hidden="1" customWidth="1"/>
    <col min="7936" max="7940" width="9.6640625" style="77" bestFit="1" customWidth="1"/>
    <col min="7941" max="8186" width="9.33203125" style="77"/>
    <col min="8187" max="8187" width="3.5546875" style="77" customWidth="1"/>
    <col min="8188" max="8188" width="7.5546875" style="77" customWidth="1"/>
    <col min="8189" max="8189" width="65.6640625" style="77" customWidth="1"/>
    <col min="8190" max="8190" width="9.6640625" style="77" bestFit="1" customWidth="1"/>
    <col min="8191" max="8191" width="0" style="77" hidden="1" customWidth="1"/>
    <col min="8192" max="8196" width="9.6640625" style="77" bestFit="1" customWidth="1"/>
    <col min="8197" max="8442" width="9.33203125" style="77"/>
    <col min="8443" max="8443" width="3.5546875" style="77" customWidth="1"/>
    <col min="8444" max="8444" width="7.5546875" style="77" customWidth="1"/>
    <col min="8445" max="8445" width="65.6640625" style="77" customWidth="1"/>
    <col min="8446" max="8446" width="9.6640625" style="77" bestFit="1" customWidth="1"/>
    <col min="8447" max="8447" width="0" style="77" hidden="1" customWidth="1"/>
    <col min="8448" max="8452" width="9.6640625" style="77" bestFit="1" customWidth="1"/>
    <col min="8453" max="8698" width="9.33203125" style="77"/>
    <col min="8699" max="8699" width="3.5546875" style="77" customWidth="1"/>
    <col min="8700" max="8700" width="7.5546875" style="77" customWidth="1"/>
    <col min="8701" max="8701" width="65.6640625" style="77" customWidth="1"/>
    <col min="8702" max="8702" width="9.6640625" style="77" bestFit="1" customWidth="1"/>
    <col min="8703" max="8703" width="0" style="77" hidden="1" customWidth="1"/>
    <col min="8704" max="8708" width="9.6640625" style="77" bestFit="1" customWidth="1"/>
    <col min="8709" max="8954" width="9.33203125" style="77"/>
    <col min="8955" max="8955" width="3.5546875" style="77" customWidth="1"/>
    <col min="8956" max="8956" width="7.5546875" style="77" customWidth="1"/>
    <col min="8957" max="8957" width="65.6640625" style="77" customWidth="1"/>
    <col min="8958" max="8958" width="9.6640625" style="77" bestFit="1" customWidth="1"/>
    <col min="8959" max="8959" width="0" style="77" hidden="1" customWidth="1"/>
    <col min="8960" max="8964" width="9.6640625" style="77" bestFit="1" customWidth="1"/>
    <col min="8965" max="9210" width="9.33203125" style="77"/>
    <col min="9211" max="9211" width="3.5546875" style="77" customWidth="1"/>
    <col min="9212" max="9212" width="7.5546875" style="77" customWidth="1"/>
    <col min="9213" max="9213" width="65.6640625" style="77" customWidth="1"/>
    <col min="9214" max="9214" width="9.6640625" style="77" bestFit="1" customWidth="1"/>
    <col min="9215" max="9215" width="0" style="77" hidden="1" customWidth="1"/>
    <col min="9216" max="9220" width="9.6640625" style="77" bestFit="1" customWidth="1"/>
    <col min="9221" max="9466" width="9.33203125" style="77"/>
    <col min="9467" max="9467" width="3.5546875" style="77" customWidth="1"/>
    <col min="9468" max="9468" width="7.5546875" style="77" customWidth="1"/>
    <col min="9469" max="9469" width="65.6640625" style="77" customWidth="1"/>
    <col min="9470" max="9470" width="9.6640625" style="77" bestFit="1" customWidth="1"/>
    <col min="9471" max="9471" width="0" style="77" hidden="1" customWidth="1"/>
    <col min="9472" max="9476" width="9.6640625" style="77" bestFit="1" customWidth="1"/>
    <col min="9477" max="9722" width="9.33203125" style="77"/>
    <col min="9723" max="9723" width="3.5546875" style="77" customWidth="1"/>
    <col min="9724" max="9724" width="7.5546875" style="77" customWidth="1"/>
    <col min="9725" max="9725" width="65.6640625" style="77" customWidth="1"/>
    <col min="9726" max="9726" width="9.6640625" style="77" bestFit="1" customWidth="1"/>
    <col min="9727" max="9727" width="0" style="77" hidden="1" customWidth="1"/>
    <col min="9728" max="9732" width="9.6640625" style="77" bestFit="1" customWidth="1"/>
    <col min="9733" max="9978" width="9.33203125" style="77"/>
    <col min="9979" max="9979" width="3.5546875" style="77" customWidth="1"/>
    <col min="9980" max="9980" width="7.5546875" style="77" customWidth="1"/>
    <col min="9981" max="9981" width="65.6640625" style="77" customWidth="1"/>
    <col min="9982" max="9982" width="9.6640625" style="77" bestFit="1" customWidth="1"/>
    <col min="9983" max="9983" width="0" style="77" hidden="1" customWidth="1"/>
    <col min="9984" max="9988" width="9.6640625" style="77" bestFit="1" customWidth="1"/>
    <col min="9989" max="10234" width="9.33203125" style="77"/>
    <col min="10235" max="10235" width="3.5546875" style="77" customWidth="1"/>
    <col min="10236" max="10236" width="7.5546875" style="77" customWidth="1"/>
    <col min="10237" max="10237" width="65.6640625" style="77" customWidth="1"/>
    <col min="10238" max="10238" width="9.6640625" style="77" bestFit="1" customWidth="1"/>
    <col min="10239" max="10239" width="0" style="77" hidden="1" customWidth="1"/>
    <col min="10240" max="10244" width="9.6640625" style="77" bestFit="1" customWidth="1"/>
    <col min="10245" max="10490" width="9.33203125" style="77"/>
    <col min="10491" max="10491" width="3.5546875" style="77" customWidth="1"/>
    <col min="10492" max="10492" width="7.5546875" style="77" customWidth="1"/>
    <col min="10493" max="10493" width="65.6640625" style="77" customWidth="1"/>
    <col min="10494" max="10494" width="9.6640625" style="77" bestFit="1" customWidth="1"/>
    <col min="10495" max="10495" width="0" style="77" hidden="1" customWidth="1"/>
    <col min="10496" max="10500" width="9.6640625" style="77" bestFit="1" customWidth="1"/>
    <col min="10501" max="10746" width="9.33203125" style="77"/>
    <col min="10747" max="10747" width="3.5546875" style="77" customWidth="1"/>
    <col min="10748" max="10748" width="7.5546875" style="77" customWidth="1"/>
    <col min="10749" max="10749" width="65.6640625" style="77" customWidth="1"/>
    <col min="10750" max="10750" width="9.6640625" style="77" bestFit="1" customWidth="1"/>
    <col min="10751" max="10751" width="0" style="77" hidden="1" customWidth="1"/>
    <col min="10752" max="10756" width="9.6640625" style="77" bestFit="1" customWidth="1"/>
    <col min="10757" max="11002" width="9.33203125" style="77"/>
    <col min="11003" max="11003" width="3.5546875" style="77" customWidth="1"/>
    <col min="11004" max="11004" width="7.5546875" style="77" customWidth="1"/>
    <col min="11005" max="11005" width="65.6640625" style="77" customWidth="1"/>
    <col min="11006" max="11006" width="9.6640625" style="77" bestFit="1" customWidth="1"/>
    <col min="11007" max="11007" width="0" style="77" hidden="1" customWidth="1"/>
    <col min="11008" max="11012" width="9.6640625" style="77" bestFit="1" customWidth="1"/>
    <col min="11013" max="11258" width="9.33203125" style="77"/>
    <col min="11259" max="11259" width="3.5546875" style="77" customWidth="1"/>
    <col min="11260" max="11260" width="7.5546875" style="77" customWidth="1"/>
    <col min="11261" max="11261" width="65.6640625" style="77" customWidth="1"/>
    <col min="11262" max="11262" width="9.6640625" style="77" bestFit="1" customWidth="1"/>
    <col min="11263" max="11263" width="0" style="77" hidden="1" customWidth="1"/>
    <col min="11264" max="11268" width="9.6640625" style="77" bestFit="1" customWidth="1"/>
    <col min="11269" max="11514" width="9.33203125" style="77"/>
    <col min="11515" max="11515" width="3.5546875" style="77" customWidth="1"/>
    <col min="11516" max="11516" width="7.5546875" style="77" customWidth="1"/>
    <col min="11517" max="11517" width="65.6640625" style="77" customWidth="1"/>
    <col min="11518" max="11518" width="9.6640625" style="77" bestFit="1" customWidth="1"/>
    <col min="11519" max="11519" width="0" style="77" hidden="1" customWidth="1"/>
    <col min="11520" max="11524" width="9.6640625" style="77" bestFit="1" customWidth="1"/>
    <col min="11525" max="11770" width="9.33203125" style="77"/>
    <col min="11771" max="11771" width="3.5546875" style="77" customWidth="1"/>
    <col min="11772" max="11772" width="7.5546875" style="77" customWidth="1"/>
    <col min="11773" max="11773" width="65.6640625" style="77" customWidth="1"/>
    <col min="11774" max="11774" width="9.6640625" style="77" bestFit="1" customWidth="1"/>
    <col min="11775" max="11775" width="0" style="77" hidden="1" customWidth="1"/>
    <col min="11776" max="11780" width="9.6640625" style="77" bestFit="1" customWidth="1"/>
    <col min="11781" max="12026" width="9.33203125" style="77"/>
    <col min="12027" max="12027" width="3.5546875" style="77" customWidth="1"/>
    <col min="12028" max="12028" width="7.5546875" style="77" customWidth="1"/>
    <col min="12029" max="12029" width="65.6640625" style="77" customWidth="1"/>
    <col min="12030" max="12030" width="9.6640625" style="77" bestFit="1" customWidth="1"/>
    <col min="12031" max="12031" width="0" style="77" hidden="1" customWidth="1"/>
    <col min="12032" max="12036" width="9.6640625" style="77" bestFit="1" customWidth="1"/>
    <col min="12037" max="12282" width="9.33203125" style="77"/>
    <col min="12283" max="12283" width="3.5546875" style="77" customWidth="1"/>
    <col min="12284" max="12284" width="7.5546875" style="77" customWidth="1"/>
    <col min="12285" max="12285" width="65.6640625" style="77" customWidth="1"/>
    <col min="12286" max="12286" width="9.6640625" style="77" bestFit="1" customWidth="1"/>
    <col min="12287" max="12287" width="0" style="77" hidden="1" customWidth="1"/>
    <col min="12288" max="12292" width="9.6640625" style="77" bestFit="1" customWidth="1"/>
    <col min="12293" max="12538" width="9.33203125" style="77"/>
    <col min="12539" max="12539" width="3.5546875" style="77" customWidth="1"/>
    <col min="12540" max="12540" width="7.5546875" style="77" customWidth="1"/>
    <col min="12541" max="12541" width="65.6640625" style="77" customWidth="1"/>
    <col min="12542" max="12542" width="9.6640625" style="77" bestFit="1" customWidth="1"/>
    <col min="12543" max="12543" width="0" style="77" hidden="1" customWidth="1"/>
    <col min="12544" max="12548" width="9.6640625" style="77" bestFit="1" customWidth="1"/>
    <col min="12549" max="12794" width="9.33203125" style="77"/>
    <col min="12795" max="12795" width="3.5546875" style="77" customWidth="1"/>
    <col min="12796" max="12796" width="7.5546875" style="77" customWidth="1"/>
    <col min="12797" max="12797" width="65.6640625" style="77" customWidth="1"/>
    <col min="12798" max="12798" width="9.6640625" style="77" bestFit="1" customWidth="1"/>
    <col min="12799" max="12799" width="0" style="77" hidden="1" customWidth="1"/>
    <col min="12800" max="12804" width="9.6640625" style="77" bestFit="1" customWidth="1"/>
    <col min="12805" max="13050" width="9.33203125" style="77"/>
    <col min="13051" max="13051" width="3.5546875" style="77" customWidth="1"/>
    <col min="13052" max="13052" width="7.5546875" style="77" customWidth="1"/>
    <col min="13053" max="13053" width="65.6640625" style="77" customWidth="1"/>
    <col min="13054" max="13054" width="9.6640625" style="77" bestFit="1" customWidth="1"/>
    <col min="13055" max="13055" width="0" style="77" hidden="1" customWidth="1"/>
    <col min="13056" max="13060" width="9.6640625" style="77" bestFit="1" customWidth="1"/>
    <col min="13061" max="13306" width="9.33203125" style="77"/>
    <col min="13307" max="13307" width="3.5546875" style="77" customWidth="1"/>
    <col min="13308" max="13308" width="7.5546875" style="77" customWidth="1"/>
    <col min="13309" max="13309" width="65.6640625" style="77" customWidth="1"/>
    <col min="13310" max="13310" width="9.6640625" style="77" bestFit="1" customWidth="1"/>
    <col min="13311" max="13311" width="0" style="77" hidden="1" customWidth="1"/>
    <col min="13312" max="13316" width="9.6640625" style="77" bestFit="1" customWidth="1"/>
    <col min="13317" max="13562" width="9.33203125" style="77"/>
    <col min="13563" max="13563" width="3.5546875" style="77" customWidth="1"/>
    <col min="13564" max="13564" width="7.5546875" style="77" customWidth="1"/>
    <col min="13565" max="13565" width="65.6640625" style="77" customWidth="1"/>
    <col min="13566" max="13566" width="9.6640625" style="77" bestFit="1" customWidth="1"/>
    <col min="13567" max="13567" width="0" style="77" hidden="1" customWidth="1"/>
    <col min="13568" max="13572" width="9.6640625" style="77" bestFit="1" customWidth="1"/>
    <col min="13573" max="13818" width="9.33203125" style="77"/>
    <col min="13819" max="13819" width="3.5546875" style="77" customWidth="1"/>
    <col min="13820" max="13820" width="7.5546875" style="77" customWidth="1"/>
    <col min="13821" max="13821" width="65.6640625" style="77" customWidth="1"/>
    <col min="13822" max="13822" width="9.6640625" style="77" bestFit="1" customWidth="1"/>
    <col min="13823" max="13823" width="0" style="77" hidden="1" customWidth="1"/>
    <col min="13824" max="13828" width="9.6640625" style="77" bestFit="1" customWidth="1"/>
    <col min="13829" max="14074" width="9.33203125" style="77"/>
    <col min="14075" max="14075" width="3.5546875" style="77" customWidth="1"/>
    <col min="14076" max="14076" width="7.5546875" style="77" customWidth="1"/>
    <col min="14077" max="14077" width="65.6640625" style="77" customWidth="1"/>
    <col min="14078" max="14078" width="9.6640625" style="77" bestFit="1" customWidth="1"/>
    <col min="14079" max="14079" width="0" style="77" hidden="1" customWidth="1"/>
    <col min="14080" max="14084" width="9.6640625" style="77" bestFit="1" customWidth="1"/>
    <col min="14085" max="14330" width="9.33203125" style="77"/>
    <col min="14331" max="14331" width="3.5546875" style="77" customWidth="1"/>
    <col min="14332" max="14332" width="7.5546875" style="77" customWidth="1"/>
    <col min="14333" max="14333" width="65.6640625" style="77" customWidth="1"/>
    <col min="14334" max="14334" width="9.6640625" style="77" bestFit="1" customWidth="1"/>
    <col min="14335" max="14335" width="0" style="77" hidden="1" customWidth="1"/>
    <col min="14336" max="14340" width="9.6640625" style="77" bestFit="1" customWidth="1"/>
    <col min="14341" max="14586" width="9.33203125" style="77"/>
    <col min="14587" max="14587" width="3.5546875" style="77" customWidth="1"/>
    <col min="14588" max="14588" width="7.5546875" style="77" customWidth="1"/>
    <col min="14589" max="14589" width="65.6640625" style="77" customWidth="1"/>
    <col min="14590" max="14590" width="9.6640625" style="77" bestFit="1" customWidth="1"/>
    <col min="14591" max="14591" width="0" style="77" hidden="1" customWidth="1"/>
    <col min="14592" max="14596" width="9.6640625" style="77" bestFit="1" customWidth="1"/>
    <col min="14597" max="14842" width="9.33203125" style="77"/>
    <col min="14843" max="14843" width="3.5546875" style="77" customWidth="1"/>
    <col min="14844" max="14844" width="7.5546875" style="77" customWidth="1"/>
    <col min="14845" max="14845" width="65.6640625" style="77" customWidth="1"/>
    <col min="14846" max="14846" width="9.6640625" style="77" bestFit="1" customWidth="1"/>
    <col min="14847" max="14847" width="0" style="77" hidden="1" customWidth="1"/>
    <col min="14848" max="14852" width="9.6640625" style="77" bestFit="1" customWidth="1"/>
    <col min="14853" max="15098" width="9.33203125" style="77"/>
    <col min="15099" max="15099" width="3.5546875" style="77" customWidth="1"/>
    <col min="15100" max="15100" width="7.5546875" style="77" customWidth="1"/>
    <col min="15101" max="15101" width="65.6640625" style="77" customWidth="1"/>
    <col min="15102" max="15102" width="9.6640625" style="77" bestFit="1" customWidth="1"/>
    <col min="15103" max="15103" width="0" style="77" hidden="1" customWidth="1"/>
    <col min="15104" max="15108" width="9.6640625" style="77" bestFit="1" customWidth="1"/>
    <col min="15109" max="15354" width="9.33203125" style="77"/>
    <col min="15355" max="15355" width="3.5546875" style="77" customWidth="1"/>
    <col min="15356" max="15356" width="7.5546875" style="77" customWidth="1"/>
    <col min="15357" max="15357" width="65.6640625" style="77" customWidth="1"/>
    <col min="15358" max="15358" width="9.6640625" style="77" bestFit="1" customWidth="1"/>
    <col min="15359" max="15359" width="0" style="77" hidden="1" customWidth="1"/>
    <col min="15360" max="15364" width="9.6640625" style="77" bestFit="1" customWidth="1"/>
    <col min="15365" max="15610" width="9.33203125" style="77"/>
    <col min="15611" max="15611" width="3.5546875" style="77" customWidth="1"/>
    <col min="15612" max="15612" width="7.5546875" style="77" customWidth="1"/>
    <col min="15613" max="15613" width="65.6640625" style="77" customWidth="1"/>
    <col min="15614" max="15614" width="9.6640625" style="77" bestFit="1" customWidth="1"/>
    <col min="15615" max="15615" width="0" style="77" hidden="1" customWidth="1"/>
    <col min="15616" max="15620" width="9.6640625" style="77" bestFit="1" customWidth="1"/>
    <col min="15621" max="15866" width="9.33203125" style="77"/>
    <col min="15867" max="15867" width="3.5546875" style="77" customWidth="1"/>
    <col min="15868" max="15868" width="7.5546875" style="77" customWidth="1"/>
    <col min="15869" max="15869" width="65.6640625" style="77" customWidth="1"/>
    <col min="15870" max="15870" width="9.6640625" style="77" bestFit="1" customWidth="1"/>
    <col min="15871" max="15871" width="0" style="77" hidden="1" customWidth="1"/>
    <col min="15872" max="15876" width="9.6640625" style="77" bestFit="1" customWidth="1"/>
    <col min="15877" max="16122" width="9.33203125" style="77"/>
    <col min="16123" max="16123" width="3.5546875" style="77" customWidth="1"/>
    <col min="16124" max="16124" width="7.5546875" style="77" customWidth="1"/>
    <col min="16125" max="16125" width="65.6640625" style="77" customWidth="1"/>
    <col min="16126" max="16126" width="9.6640625" style="77" bestFit="1" customWidth="1"/>
    <col min="16127" max="16127" width="0" style="77" hidden="1" customWidth="1"/>
    <col min="16128" max="16132" width="9.6640625" style="77" bestFit="1" customWidth="1"/>
    <col min="16133" max="16384" width="9.33203125" style="77"/>
  </cols>
  <sheetData>
    <row r="2" spans="2:7" x14ac:dyDescent="0.3">
      <c r="B2" s="620" t="s">
        <v>592</v>
      </c>
      <c r="C2" s="621"/>
      <c r="D2" s="621"/>
      <c r="E2" s="621"/>
      <c r="F2" s="621"/>
      <c r="G2" s="621"/>
    </row>
    <row r="3" spans="2:7" ht="13.2" customHeight="1" x14ac:dyDescent="0.3">
      <c r="B3" s="620" t="s">
        <v>593</v>
      </c>
      <c r="C3" s="621"/>
      <c r="D3" s="621"/>
      <c r="E3" s="621"/>
      <c r="F3" s="621"/>
      <c r="G3" s="621"/>
    </row>
    <row r="4" spans="2:7" ht="13.2" customHeight="1" x14ac:dyDescent="0.3">
      <c r="B4" s="618" t="str">
        <f>'F2 (2)'!B4:D4</f>
        <v>CHHATTISGARH STATE POWER TRANSMISSION COMPANY LIMITED</v>
      </c>
      <c r="C4" s="619"/>
      <c r="D4" s="619"/>
      <c r="E4" s="619"/>
      <c r="F4" s="619"/>
      <c r="G4" s="619"/>
    </row>
    <row r="5" spans="2:7" x14ac:dyDescent="0.3">
      <c r="B5" s="359" t="str">
        <f>'F2 (2)'!B5</f>
        <v>Sr. No</v>
      </c>
      <c r="C5" s="359" t="str">
        <f>'F2 (2)'!C5</f>
        <v>Particulars</v>
      </c>
      <c r="D5" s="359" t="str">
        <f>'F2 (2)'!D5</f>
        <v>FY 2018-19</v>
      </c>
      <c r="E5" s="359" t="str">
        <f>'F2 (2)'!E5</f>
        <v>FY 2019-20</v>
      </c>
      <c r="F5" s="359" t="s">
        <v>28</v>
      </c>
      <c r="G5" s="359" t="s">
        <v>29</v>
      </c>
    </row>
    <row r="6" spans="2:7" s="83" customFormat="1" x14ac:dyDescent="0.3">
      <c r="B6" s="351"/>
      <c r="C6" s="351"/>
      <c r="D6" s="351"/>
      <c r="E6" s="330"/>
      <c r="F6" s="330"/>
      <c r="G6" s="330"/>
    </row>
    <row r="7" spans="2:7" x14ac:dyDescent="0.3">
      <c r="B7" s="352" t="s">
        <v>228</v>
      </c>
      <c r="C7" s="353" t="s">
        <v>594</v>
      </c>
      <c r="D7" s="343">
        <f>'F5'!I11</f>
        <v>4131.7862290340008</v>
      </c>
      <c r="E7" s="344">
        <f>D17</f>
        <v>4699.6880671877307</v>
      </c>
      <c r="F7" s="344">
        <f>E17</f>
        <v>5096.4480671877309</v>
      </c>
      <c r="G7" s="344">
        <f>F17</f>
        <v>5435.8814643877295</v>
      </c>
    </row>
    <row r="8" spans="2:7" x14ac:dyDescent="0.3">
      <c r="B8" s="354"/>
      <c r="C8" s="353" t="s">
        <v>595</v>
      </c>
      <c r="D8" s="343"/>
      <c r="E8" s="334"/>
      <c r="F8" s="334"/>
      <c r="G8" s="344"/>
    </row>
    <row r="9" spans="2:7" x14ac:dyDescent="0.3">
      <c r="B9" s="354"/>
      <c r="C9" s="353" t="s">
        <v>596</v>
      </c>
      <c r="D9" s="343"/>
      <c r="E9" s="334"/>
      <c r="F9" s="334"/>
      <c r="G9" s="344"/>
    </row>
    <row r="10" spans="2:7" ht="27.6" x14ac:dyDescent="0.3">
      <c r="B10" s="354"/>
      <c r="C10" s="353" t="s">
        <v>597</v>
      </c>
      <c r="D10" s="343"/>
      <c r="E10" s="334"/>
      <c r="F10" s="334"/>
      <c r="G10" s="344"/>
    </row>
    <row r="11" spans="2:7" x14ac:dyDescent="0.3">
      <c r="B11" s="354"/>
      <c r="C11" s="355"/>
      <c r="D11" s="343"/>
      <c r="E11" s="334"/>
      <c r="F11" s="334"/>
      <c r="G11" s="344"/>
    </row>
    <row r="12" spans="2:7" x14ac:dyDescent="0.3">
      <c r="B12" s="352" t="s">
        <v>229</v>
      </c>
      <c r="C12" s="353" t="s">
        <v>598</v>
      </c>
      <c r="D12" s="343">
        <f>'F5'!I14</f>
        <v>567.90183815372984</v>
      </c>
      <c r="E12" s="333">
        <f>'F5'!K14</f>
        <v>396.76</v>
      </c>
      <c r="F12" s="333">
        <f>'F5'!M14</f>
        <v>339.43339719999858</v>
      </c>
      <c r="G12" s="344">
        <f>'F5'!O14</f>
        <v>134.82529275899878</v>
      </c>
    </row>
    <row r="13" spans="2:7" x14ac:dyDescent="0.3">
      <c r="B13" s="354"/>
      <c r="C13" s="353" t="s">
        <v>599</v>
      </c>
      <c r="D13" s="343"/>
      <c r="E13" s="334"/>
      <c r="F13" s="334"/>
      <c r="G13" s="344"/>
    </row>
    <row r="14" spans="2:7" x14ac:dyDescent="0.3">
      <c r="B14" s="354"/>
      <c r="C14" s="353" t="s">
        <v>600</v>
      </c>
      <c r="D14" s="343"/>
      <c r="E14" s="334"/>
      <c r="F14" s="334"/>
      <c r="G14" s="344"/>
    </row>
    <row r="15" spans="2:7" ht="27.6" x14ac:dyDescent="0.3">
      <c r="B15" s="354"/>
      <c r="C15" s="353" t="s">
        <v>601</v>
      </c>
      <c r="D15" s="343"/>
      <c r="E15" s="334"/>
      <c r="F15" s="334"/>
      <c r="G15" s="344"/>
    </row>
    <row r="16" spans="2:7" x14ac:dyDescent="0.3">
      <c r="B16" s="354"/>
      <c r="C16" s="355"/>
      <c r="D16" s="343"/>
      <c r="E16" s="334"/>
      <c r="F16" s="334"/>
      <c r="G16" s="344"/>
    </row>
    <row r="17" spans="2:7" x14ac:dyDescent="0.3">
      <c r="B17" s="352" t="s">
        <v>369</v>
      </c>
      <c r="C17" s="353" t="s">
        <v>602</v>
      </c>
      <c r="D17" s="343">
        <f>D7+D12</f>
        <v>4699.6880671877307</v>
      </c>
      <c r="E17" s="343">
        <f>E7+E12</f>
        <v>5096.4480671877309</v>
      </c>
      <c r="F17" s="343">
        <f>F7+F12</f>
        <v>5435.8814643877295</v>
      </c>
      <c r="G17" s="343">
        <f>G7+G12</f>
        <v>5570.7067571467287</v>
      </c>
    </row>
    <row r="18" spans="2:7" x14ac:dyDescent="0.3">
      <c r="B18" s="354"/>
      <c r="C18" s="353" t="s">
        <v>603</v>
      </c>
      <c r="D18" s="343"/>
      <c r="E18" s="334"/>
      <c r="F18" s="334"/>
      <c r="G18" s="344"/>
    </row>
    <row r="19" spans="2:7" x14ac:dyDescent="0.3">
      <c r="B19" s="354"/>
      <c r="C19" s="353" t="s">
        <v>604</v>
      </c>
      <c r="D19" s="343"/>
      <c r="E19" s="334"/>
      <c r="F19" s="334"/>
      <c r="G19" s="334"/>
    </row>
    <row r="20" spans="2:7" ht="11.25" customHeight="1" x14ac:dyDescent="0.3">
      <c r="B20" s="354"/>
      <c r="C20" s="353" t="s">
        <v>605</v>
      </c>
      <c r="D20" s="343"/>
      <c r="E20" s="334"/>
      <c r="F20" s="334"/>
      <c r="G20" s="334"/>
    </row>
    <row r="21" spans="2:7" ht="9" customHeight="1" x14ac:dyDescent="0.3">
      <c r="B21" s="331"/>
      <c r="C21" s="334"/>
      <c r="D21" s="334"/>
      <c r="E21" s="334"/>
      <c r="F21" s="334"/>
      <c r="G21" s="334"/>
    </row>
    <row r="22" spans="2:7" x14ac:dyDescent="0.3">
      <c r="B22" s="331"/>
      <c r="C22" s="356" t="s">
        <v>606</v>
      </c>
      <c r="D22" s="334"/>
      <c r="E22" s="334"/>
      <c r="F22" s="334"/>
      <c r="G22" s="334"/>
    </row>
    <row r="23" spans="2:7" x14ac:dyDescent="0.3">
      <c r="B23" s="331"/>
      <c r="C23" s="356" t="s">
        <v>607</v>
      </c>
      <c r="D23" s="334"/>
      <c r="E23" s="334"/>
      <c r="F23" s="334"/>
      <c r="G23" s="334"/>
    </row>
    <row r="24" spans="2:7" x14ac:dyDescent="0.3">
      <c r="B24" s="331"/>
      <c r="C24" s="357" t="s">
        <v>608</v>
      </c>
      <c r="D24" s="334"/>
      <c r="E24" s="334"/>
      <c r="F24" s="334"/>
      <c r="G24" s="334"/>
    </row>
    <row r="25" spans="2:7" x14ac:dyDescent="0.3">
      <c r="B25" s="331"/>
      <c r="C25" s="358" t="s">
        <v>609</v>
      </c>
      <c r="D25" s="334"/>
      <c r="E25" s="334"/>
      <c r="F25" s="334"/>
      <c r="G25" s="334"/>
    </row>
    <row r="26" spans="2:7" x14ac:dyDescent="0.3">
      <c r="B26" s="331"/>
      <c r="C26" s="334"/>
      <c r="D26" s="334"/>
      <c r="E26" s="334"/>
      <c r="F26" s="334"/>
      <c r="G26" s="334"/>
    </row>
  </sheetData>
  <mergeCells count="3">
    <mergeCell ref="B4:G4"/>
    <mergeCell ref="B3:G3"/>
    <mergeCell ref="B2:G2"/>
  </mergeCells>
  <pageMargins left="0.7" right="0.7" top="0.75" bottom="0.75" header="0.3" footer="0.3"/>
  <pageSetup scale="48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B2:K29"/>
  <sheetViews>
    <sheetView showGridLines="0" view="pageBreakPreview" zoomScale="90" zoomScaleNormal="100" zoomScaleSheetLayoutView="90" workbookViewId="0">
      <selection activeCell="G7" sqref="G7:G25"/>
    </sheetView>
  </sheetViews>
  <sheetFormatPr defaultColWidth="5.5546875" defaultRowHeight="13.8" x14ac:dyDescent="0.3"/>
  <cols>
    <col min="1" max="1" width="2.6640625" style="107" customWidth="1"/>
    <col min="2" max="2" width="5.6640625" style="107" bestFit="1" customWidth="1"/>
    <col min="3" max="3" width="46.44140625" style="107" bestFit="1" customWidth="1"/>
    <col min="4" max="4" width="13.6640625" style="111" hidden="1" customWidth="1"/>
    <col min="5" max="5" width="13.33203125" style="107" hidden="1" customWidth="1"/>
    <col min="6" max="6" width="14.109375" style="107" hidden="1" customWidth="1"/>
    <col min="7" max="8" width="14.109375" style="107" customWidth="1"/>
    <col min="9" max="250" width="5.5546875" style="107"/>
    <col min="251" max="251" width="2.6640625" style="107" customWidth="1"/>
    <col min="252" max="252" width="5.6640625" style="107" bestFit="1" customWidth="1"/>
    <col min="253" max="253" width="46.44140625" style="107" bestFit="1" customWidth="1"/>
    <col min="254" max="254" width="9.6640625" style="107" bestFit="1" customWidth="1"/>
    <col min="255" max="255" width="0" style="107" hidden="1" customWidth="1"/>
    <col min="256" max="260" width="9.6640625" style="107" bestFit="1" customWidth="1"/>
    <col min="261" max="506" width="5.5546875" style="107"/>
    <col min="507" max="507" width="2.6640625" style="107" customWidth="1"/>
    <col min="508" max="508" width="5.6640625" style="107" bestFit="1" customWidth="1"/>
    <col min="509" max="509" width="46.44140625" style="107" bestFit="1" customWidth="1"/>
    <col min="510" max="510" width="9.6640625" style="107" bestFit="1" customWidth="1"/>
    <col min="511" max="511" width="0" style="107" hidden="1" customWidth="1"/>
    <col min="512" max="516" width="9.6640625" style="107" bestFit="1" customWidth="1"/>
    <col min="517" max="762" width="5.5546875" style="107"/>
    <col min="763" max="763" width="2.6640625" style="107" customWidth="1"/>
    <col min="764" max="764" width="5.6640625" style="107" bestFit="1" customWidth="1"/>
    <col min="765" max="765" width="46.44140625" style="107" bestFit="1" customWidth="1"/>
    <col min="766" max="766" width="9.6640625" style="107" bestFit="1" customWidth="1"/>
    <col min="767" max="767" width="0" style="107" hidden="1" customWidth="1"/>
    <col min="768" max="772" width="9.6640625" style="107" bestFit="1" customWidth="1"/>
    <col min="773" max="1018" width="5.5546875" style="107"/>
    <col min="1019" max="1019" width="2.6640625" style="107" customWidth="1"/>
    <col min="1020" max="1020" width="5.6640625" style="107" bestFit="1" customWidth="1"/>
    <col min="1021" max="1021" width="46.44140625" style="107" bestFit="1" customWidth="1"/>
    <col min="1022" max="1022" width="9.6640625" style="107" bestFit="1" customWidth="1"/>
    <col min="1023" max="1023" width="0" style="107" hidden="1" customWidth="1"/>
    <col min="1024" max="1028" width="9.6640625" style="107" bestFit="1" customWidth="1"/>
    <col min="1029" max="1274" width="5.5546875" style="107"/>
    <col min="1275" max="1275" width="2.6640625" style="107" customWidth="1"/>
    <col min="1276" max="1276" width="5.6640625" style="107" bestFit="1" customWidth="1"/>
    <col min="1277" max="1277" width="46.44140625" style="107" bestFit="1" customWidth="1"/>
    <col min="1278" max="1278" width="9.6640625" style="107" bestFit="1" customWidth="1"/>
    <col min="1279" max="1279" width="0" style="107" hidden="1" customWidth="1"/>
    <col min="1280" max="1284" width="9.6640625" style="107" bestFit="1" customWidth="1"/>
    <col min="1285" max="1530" width="5.5546875" style="107"/>
    <col min="1531" max="1531" width="2.6640625" style="107" customWidth="1"/>
    <col min="1532" max="1532" width="5.6640625" style="107" bestFit="1" customWidth="1"/>
    <col min="1533" max="1533" width="46.44140625" style="107" bestFit="1" customWidth="1"/>
    <col min="1534" max="1534" width="9.6640625" style="107" bestFit="1" customWidth="1"/>
    <col min="1535" max="1535" width="0" style="107" hidden="1" customWidth="1"/>
    <col min="1536" max="1540" width="9.6640625" style="107" bestFit="1" customWidth="1"/>
    <col min="1541" max="1786" width="5.5546875" style="107"/>
    <col min="1787" max="1787" width="2.6640625" style="107" customWidth="1"/>
    <col min="1788" max="1788" width="5.6640625" style="107" bestFit="1" customWidth="1"/>
    <col min="1789" max="1789" width="46.44140625" style="107" bestFit="1" customWidth="1"/>
    <col min="1790" max="1790" width="9.6640625" style="107" bestFit="1" customWidth="1"/>
    <col min="1791" max="1791" width="0" style="107" hidden="1" customWidth="1"/>
    <col min="1792" max="1796" width="9.6640625" style="107" bestFit="1" customWidth="1"/>
    <col min="1797" max="2042" width="5.5546875" style="107"/>
    <col min="2043" max="2043" width="2.6640625" style="107" customWidth="1"/>
    <col min="2044" max="2044" width="5.6640625" style="107" bestFit="1" customWidth="1"/>
    <col min="2045" max="2045" width="46.44140625" style="107" bestFit="1" customWidth="1"/>
    <col min="2046" max="2046" width="9.6640625" style="107" bestFit="1" customWidth="1"/>
    <col min="2047" max="2047" width="0" style="107" hidden="1" customWidth="1"/>
    <col min="2048" max="2052" width="9.6640625" style="107" bestFit="1" customWidth="1"/>
    <col min="2053" max="2298" width="5.5546875" style="107"/>
    <col min="2299" max="2299" width="2.6640625" style="107" customWidth="1"/>
    <col min="2300" max="2300" width="5.6640625" style="107" bestFit="1" customWidth="1"/>
    <col min="2301" max="2301" width="46.44140625" style="107" bestFit="1" customWidth="1"/>
    <col min="2302" max="2302" width="9.6640625" style="107" bestFit="1" customWidth="1"/>
    <col min="2303" max="2303" width="0" style="107" hidden="1" customWidth="1"/>
    <col min="2304" max="2308" width="9.6640625" style="107" bestFit="1" customWidth="1"/>
    <col min="2309" max="2554" width="5.5546875" style="107"/>
    <col min="2555" max="2555" width="2.6640625" style="107" customWidth="1"/>
    <col min="2556" max="2556" width="5.6640625" style="107" bestFit="1" customWidth="1"/>
    <col min="2557" max="2557" width="46.44140625" style="107" bestFit="1" customWidth="1"/>
    <col min="2558" max="2558" width="9.6640625" style="107" bestFit="1" customWidth="1"/>
    <col min="2559" max="2559" width="0" style="107" hidden="1" customWidth="1"/>
    <col min="2560" max="2564" width="9.6640625" style="107" bestFit="1" customWidth="1"/>
    <col min="2565" max="2810" width="5.5546875" style="107"/>
    <col min="2811" max="2811" width="2.6640625" style="107" customWidth="1"/>
    <col min="2812" max="2812" width="5.6640625" style="107" bestFit="1" customWidth="1"/>
    <col min="2813" max="2813" width="46.44140625" style="107" bestFit="1" customWidth="1"/>
    <col min="2814" max="2814" width="9.6640625" style="107" bestFit="1" customWidth="1"/>
    <col min="2815" max="2815" width="0" style="107" hidden="1" customWidth="1"/>
    <col min="2816" max="2820" width="9.6640625" style="107" bestFit="1" customWidth="1"/>
    <col min="2821" max="3066" width="5.5546875" style="107"/>
    <col min="3067" max="3067" width="2.6640625" style="107" customWidth="1"/>
    <col min="3068" max="3068" width="5.6640625" style="107" bestFit="1" customWidth="1"/>
    <col min="3069" max="3069" width="46.44140625" style="107" bestFit="1" customWidth="1"/>
    <col min="3070" max="3070" width="9.6640625" style="107" bestFit="1" customWidth="1"/>
    <col min="3071" max="3071" width="0" style="107" hidden="1" customWidth="1"/>
    <col min="3072" max="3076" width="9.6640625" style="107" bestFit="1" customWidth="1"/>
    <col min="3077" max="3322" width="5.5546875" style="107"/>
    <col min="3323" max="3323" width="2.6640625" style="107" customWidth="1"/>
    <col min="3324" max="3324" width="5.6640625" style="107" bestFit="1" customWidth="1"/>
    <col min="3325" max="3325" width="46.44140625" style="107" bestFit="1" customWidth="1"/>
    <col min="3326" max="3326" width="9.6640625" style="107" bestFit="1" customWidth="1"/>
    <col min="3327" max="3327" width="0" style="107" hidden="1" customWidth="1"/>
    <col min="3328" max="3332" width="9.6640625" style="107" bestFit="1" customWidth="1"/>
    <col min="3333" max="3578" width="5.5546875" style="107"/>
    <col min="3579" max="3579" width="2.6640625" style="107" customWidth="1"/>
    <col min="3580" max="3580" width="5.6640625" style="107" bestFit="1" customWidth="1"/>
    <col min="3581" max="3581" width="46.44140625" style="107" bestFit="1" customWidth="1"/>
    <col min="3582" max="3582" width="9.6640625" style="107" bestFit="1" customWidth="1"/>
    <col min="3583" max="3583" width="0" style="107" hidden="1" customWidth="1"/>
    <col min="3584" max="3588" width="9.6640625" style="107" bestFit="1" customWidth="1"/>
    <col min="3589" max="3834" width="5.5546875" style="107"/>
    <col min="3835" max="3835" width="2.6640625" style="107" customWidth="1"/>
    <col min="3836" max="3836" width="5.6640625" style="107" bestFit="1" customWidth="1"/>
    <col min="3837" max="3837" width="46.44140625" style="107" bestFit="1" customWidth="1"/>
    <col min="3838" max="3838" width="9.6640625" style="107" bestFit="1" customWidth="1"/>
    <col min="3839" max="3839" width="0" style="107" hidden="1" customWidth="1"/>
    <col min="3840" max="3844" width="9.6640625" style="107" bestFit="1" customWidth="1"/>
    <col min="3845" max="4090" width="5.5546875" style="107"/>
    <col min="4091" max="4091" width="2.6640625" style="107" customWidth="1"/>
    <col min="4092" max="4092" width="5.6640625" style="107" bestFit="1" customWidth="1"/>
    <col min="4093" max="4093" width="46.44140625" style="107" bestFit="1" customWidth="1"/>
    <col min="4094" max="4094" width="9.6640625" style="107" bestFit="1" customWidth="1"/>
    <col min="4095" max="4095" width="0" style="107" hidden="1" customWidth="1"/>
    <col min="4096" max="4100" width="9.6640625" style="107" bestFit="1" customWidth="1"/>
    <col min="4101" max="4346" width="5.5546875" style="107"/>
    <col min="4347" max="4347" width="2.6640625" style="107" customWidth="1"/>
    <col min="4348" max="4348" width="5.6640625" style="107" bestFit="1" customWidth="1"/>
    <col min="4349" max="4349" width="46.44140625" style="107" bestFit="1" customWidth="1"/>
    <col min="4350" max="4350" width="9.6640625" style="107" bestFit="1" customWidth="1"/>
    <col min="4351" max="4351" width="0" style="107" hidden="1" customWidth="1"/>
    <col min="4352" max="4356" width="9.6640625" style="107" bestFit="1" customWidth="1"/>
    <col min="4357" max="4602" width="5.5546875" style="107"/>
    <col min="4603" max="4603" width="2.6640625" style="107" customWidth="1"/>
    <col min="4604" max="4604" width="5.6640625" style="107" bestFit="1" customWidth="1"/>
    <col min="4605" max="4605" width="46.44140625" style="107" bestFit="1" customWidth="1"/>
    <col min="4606" max="4606" width="9.6640625" style="107" bestFit="1" customWidth="1"/>
    <col min="4607" max="4607" width="0" style="107" hidden="1" customWidth="1"/>
    <col min="4608" max="4612" width="9.6640625" style="107" bestFit="1" customWidth="1"/>
    <col min="4613" max="4858" width="5.5546875" style="107"/>
    <col min="4859" max="4859" width="2.6640625" style="107" customWidth="1"/>
    <col min="4860" max="4860" width="5.6640625" style="107" bestFit="1" customWidth="1"/>
    <col min="4861" max="4861" width="46.44140625" style="107" bestFit="1" customWidth="1"/>
    <col min="4862" max="4862" width="9.6640625" style="107" bestFit="1" customWidth="1"/>
    <col min="4863" max="4863" width="0" style="107" hidden="1" customWidth="1"/>
    <col min="4864" max="4868" width="9.6640625" style="107" bestFit="1" customWidth="1"/>
    <col min="4869" max="5114" width="5.5546875" style="107"/>
    <col min="5115" max="5115" width="2.6640625" style="107" customWidth="1"/>
    <col min="5116" max="5116" width="5.6640625" style="107" bestFit="1" customWidth="1"/>
    <col min="5117" max="5117" width="46.44140625" style="107" bestFit="1" customWidth="1"/>
    <col min="5118" max="5118" width="9.6640625" style="107" bestFit="1" customWidth="1"/>
    <col min="5119" max="5119" width="0" style="107" hidden="1" customWidth="1"/>
    <col min="5120" max="5124" width="9.6640625" style="107" bestFit="1" customWidth="1"/>
    <col min="5125" max="5370" width="5.5546875" style="107"/>
    <col min="5371" max="5371" width="2.6640625" style="107" customWidth="1"/>
    <col min="5372" max="5372" width="5.6640625" style="107" bestFit="1" customWidth="1"/>
    <col min="5373" max="5373" width="46.44140625" style="107" bestFit="1" customWidth="1"/>
    <col min="5374" max="5374" width="9.6640625" style="107" bestFit="1" customWidth="1"/>
    <col min="5375" max="5375" width="0" style="107" hidden="1" customWidth="1"/>
    <col min="5376" max="5380" width="9.6640625" style="107" bestFit="1" customWidth="1"/>
    <col min="5381" max="5626" width="5.5546875" style="107"/>
    <col min="5627" max="5627" width="2.6640625" style="107" customWidth="1"/>
    <col min="5628" max="5628" width="5.6640625" style="107" bestFit="1" customWidth="1"/>
    <col min="5629" max="5629" width="46.44140625" style="107" bestFit="1" customWidth="1"/>
    <col min="5630" max="5630" width="9.6640625" style="107" bestFit="1" customWidth="1"/>
    <col min="5631" max="5631" width="0" style="107" hidden="1" customWidth="1"/>
    <col min="5632" max="5636" width="9.6640625" style="107" bestFit="1" customWidth="1"/>
    <col min="5637" max="5882" width="5.5546875" style="107"/>
    <col min="5883" max="5883" width="2.6640625" style="107" customWidth="1"/>
    <col min="5884" max="5884" width="5.6640625" style="107" bestFit="1" customWidth="1"/>
    <col min="5885" max="5885" width="46.44140625" style="107" bestFit="1" customWidth="1"/>
    <col min="5886" max="5886" width="9.6640625" style="107" bestFit="1" customWidth="1"/>
    <col min="5887" max="5887" width="0" style="107" hidden="1" customWidth="1"/>
    <col min="5888" max="5892" width="9.6640625" style="107" bestFit="1" customWidth="1"/>
    <col min="5893" max="6138" width="5.5546875" style="107"/>
    <col min="6139" max="6139" width="2.6640625" style="107" customWidth="1"/>
    <col min="6140" max="6140" width="5.6640625" style="107" bestFit="1" customWidth="1"/>
    <col min="6141" max="6141" width="46.44140625" style="107" bestFit="1" customWidth="1"/>
    <col min="6142" max="6142" width="9.6640625" style="107" bestFit="1" customWidth="1"/>
    <col min="6143" max="6143" width="0" style="107" hidden="1" customWidth="1"/>
    <col min="6144" max="6148" width="9.6640625" style="107" bestFit="1" customWidth="1"/>
    <col min="6149" max="6394" width="5.5546875" style="107"/>
    <col min="6395" max="6395" width="2.6640625" style="107" customWidth="1"/>
    <col min="6396" max="6396" width="5.6640625" style="107" bestFit="1" customWidth="1"/>
    <col min="6397" max="6397" width="46.44140625" style="107" bestFit="1" customWidth="1"/>
    <col min="6398" max="6398" width="9.6640625" style="107" bestFit="1" customWidth="1"/>
    <col min="6399" max="6399" width="0" style="107" hidden="1" customWidth="1"/>
    <col min="6400" max="6404" width="9.6640625" style="107" bestFit="1" customWidth="1"/>
    <col min="6405" max="6650" width="5.5546875" style="107"/>
    <col min="6651" max="6651" width="2.6640625" style="107" customWidth="1"/>
    <col min="6652" max="6652" width="5.6640625" style="107" bestFit="1" customWidth="1"/>
    <col min="6653" max="6653" width="46.44140625" style="107" bestFit="1" customWidth="1"/>
    <col min="6654" max="6654" width="9.6640625" style="107" bestFit="1" customWidth="1"/>
    <col min="6655" max="6655" width="0" style="107" hidden="1" customWidth="1"/>
    <col min="6656" max="6660" width="9.6640625" style="107" bestFit="1" customWidth="1"/>
    <col min="6661" max="6906" width="5.5546875" style="107"/>
    <col min="6907" max="6907" width="2.6640625" style="107" customWidth="1"/>
    <col min="6908" max="6908" width="5.6640625" style="107" bestFit="1" customWidth="1"/>
    <col min="6909" max="6909" width="46.44140625" style="107" bestFit="1" customWidth="1"/>
    <col min="6910" max="6910" width="9.6640625" style="107" bestFit="1" customWidth="1"/>
    <col min="6911" max="6911" width="0" style="107" hidden="1" customWidth="1"/>
    <col min="6912" max="6916" width="9.6640625" style="107" bestFit="1" customWidth="1"/>
    <col min="6917" max="7162" width="5.5546875" style="107"/>
    <col min="7163" max="7163" width="2.6640625" style="107" customWidth="1"/>
    <col min="7164" max="7164" width="5.6640625" style="107" bestFit="1" customWidth="1"/>
    <col min="7165" max="7165" width="46.44140625" style="107" bestFit="1" customWidth="1"/>
    <col min="7166" max="7166" width="9.6640625" style="107" bestFit="1" customWidth="1"/>
    <col min="7167" max="7167" width="0" style="107" hidden="1" customWidth="1"/>
    <col min="7168" max="7172" width="9.6640625" style="107" bestFit="1" customWidth="1"/>
    <col min="7173" max="7418" width="5.5546875" style="107"/>
    <col min="7419" max="7419" width="2.6640625" style="107" customWidth="1"/>
    <col min="7420" max="7420" width="5.6640625" style="107" bestFit="1" customWidth="1"/>
    <col min="7421" max="7421" width="46.44140625" style="107" bestFit="1" customWidth="1"/>
    <col min="7422" max="7422" width="9.6640625" style="107" bestFit="1" customWidth="1"/>
    <col min="7423" max="7423" width="0" style="107" hidden="1" customWidth="1"/>
    <col min="7424" max="7428" width="9.6640625" style="107" bestFit="1" customWidth="1"/>
    <col min="7429" max="7674" width="5.5546875" style="107"/>
    <col min="7675" max="7675" width="2.6640625" style="107" customWidth="1"/>
    <col min="7676" max="7676" width="5.6640625" style="107" bestFit="1" customWidth="1"/>
    <col min="7677" max="7677" width="46.44140625" style="107" bestFit="1" customWidth="1"/>
    <col min="7678" max="7678" width="9.6640625" style="107" bestFit="1" customWidth="1"/>
    <col min="7679" max="7679" width="0" style="107" hidden="1" customWidth="1"/>
    <col min="7680" max="7684" width="9.6640625" style="107" bestFit="1" customWidth="1"/>
    <col min="7685" max="7930" width="5.5546875" style="107"/>
    <col min="7931" max="7931" width="2.6640625" style="107" customWidth="1"/>
    <col min="7932" max="7932" width="5.6640625" style="107" bestFit="1" customWidth="1"/>
    <col min="7933" max="7933" width="46.44140625" style="107" bestFit="1" customWidth="1"/>
    <col min="7934" max="7934" width="9.6640625" style="107" bestFit="1" customWidth="1"/>
    <col min="7935" max="7935" width="0" style="107" hidden="1" customWidth="1"/>
    <col min="7936" max="7940" width="9.6640625" style="107" bestFit="1" customWidth="1"/>
    <col min="7941" max="8186" width="5.5546875" style="107"/>
    <col min="8187" max="8187" width="2.6640625" style="107" customWidth="1"/>
    <col min="8188" max="8188" width="5.6640625" style="107" bestFit="1" customWidth="1"/>
    <col min="8189" max="8189" width="46.44140625" style="107" bestFit="1" customWidth="1"/>
    <col min="8190" max="8190" width="9.6640625" style="107" bestFit="1" customWidth="1"/>
    <col min="8191" max="8191" width="0" style="107" hidden="1" customWidth="1"/>
    <col min="8192" max="8196" width="9.6640625" style="107" bestFit="1" customWidth="1"/>
    <col min="8197" max="8442" width="5.5546875" style="107"/>
    <col min="8443" max="8443" width="2.6640625" style="107" customWidth="1"/>
    <col min="8444" max="8444" width="5.6640625" style="107" bestFit="1" customWidth="1"/>
    <col min="8445" max="8445" width="46.44140625" style="107" bestFit="1" customWidth="1"/>
    <col min="8446" max="8446" width="9.6640625" style="107" bestFit="1" customWidth="1"/>
    <col min="8447" max="8447" width="0" style="107" hidden="1" customWidth="1"/>
    <col min="8448" max="8452" width="9.6640625" style="107" bestFit="1" customWidth="1"/>
    <col min="8453" max="8698" width="5.5546875" style="107"/>
    <col min="8699" max="8699" width="2.6640625" style="107" customWidth="1"/>
    <col min="8700" max="8700" width="5.6640625" style="107" bestFit="1" customWidth="1"/>
    <col min="8701" max="8701" width="46.44140625" style="107" bestFit="1" customWidth="1"/>
    <col min="8702" max="8702" width="9.6640625" style="107" bestFit="1" customWidth="1"/>
    <col min="8703" max="8703" width="0" style="107" hidden="1" customWidth="1"/>
    <col min="8704" max="8708" width="9.6640625" style="107" bestFit="1" customWidth="1"/>
    <col min="8709" max="8954" width="5.5546875" style="107"/>
    <col min="8955" max="8955" width="2.6640625" style="107" customWidth="1"/>
    <col min="8956" max="8956" width="5.6640625" style="107" bestFit="1" customWidth="1"/>
    <col min="8957" max="8957" width="46.44140625" style="107" bestFit="1" customWidth="1"/>
    <col min="8958" max="8958" width="9.6640625" style="107" bestFit="1" customWidth="1"/>
    <col min="8959" max="8959" width="0" style="107" hidden="1" customWidth="1"/>
    <col min="8960" max="8964" width="9.6640625" style="107" bestFit="1" customWidth="1"/>
    <col min="8965" max="9210" width="5.5546875" style="107"/>
    <col min="9211" max="9211" width="2.6640625" style="107" customWidth="1"/>
    <col min="9212" max="9212" width="5.6640625" style="107" bestFit="1" customWidth="1"/>
    <col min="9213" max="9213" width="46.44140625" style="107" bestFit="1" customWidth="1"/>
    <col min="9214" max="9214" width="9.6640625" style="107" bestFit="1" customWidth="1"/>
    <col min="9215" max="9215" width="0" style="107" hidden="1" customWidth="1"/>
    <col min="9216" max="9220" width="9.6640625" style="107" bestFit="1" customWidth="1"/>
    <col min="9221" max="9466" width="5.5546875" style="107"/>
    <col min="9467" max="9467" width="2.6640625" style="107" customWidth="1"/>
    <col min="9468" max="9468" width="5.6640625" style="107" bestFit="1" customWidth="1"/>
    <col min="9469" max="9469" width="46.44140625" style="107" bestFit="1" customWidth="1"/>
    <col min="9470" max="9470" width="9.6640625" style="107" bestFit="1" customWidth="1"/>
    <col min="9471" max="9471" width="0" style="107" hidden="1" customWidth="1"/>
    <col min="9472" max="9476" width="9.6640625" style="107" bestFit="1" customWidth="1"/>
    <col min="9477" max="9722" width="5.5546875" style="107"/>
    <col min="9723" max="9723" width="2.6640625" style="107" customWidth="1"/>
    <col min="9724" max="9724" width="5.6640625" style="107" bestFit="1" customWidth="1"/>
    <col min="9725" max="9725" width="46.44140625" style="107" bestFit="1" customWidth="1"/>
    <col min="9726" max="9726" width="9.6640625" style="107" bestFit="1" customWidth="1"/>
    <col min="9727" max="9727" width="0" style="107" hidden="1" customWidth="1"/>
    <col min="9728" max="9732" width="9.6640625" style="107" bestFit="1" customWidth="1"/>
    <col min="9733" max="9978" width="5.5546875" style="107"/>
    <col min="9979" max="9979" width="2.6640625" style="107" customWidth="1"/>
    <col min="9980" max="9980" width="5.6640625" style="107" bestFit="1" customWidth="1"/>
    <col min="9981" max="9981" width="46.44140625" style="107" bestFit="1" customWidth="1"/>
    <col min="9982" max="9982" width="9.6640625" style="107" bestFit="1" customWidth="1"/>
    <col min="9983" max="9983" width="0" style="107" hidden="1" customWidth="1"/>
    <col min="9984" max="9988" width="9.6640625" style="107" bestFit="1" customWidth="1"/>
    <col min="9989" max="10234" width="5.5546875" style="107"/>
    <col min="10235" max="10235" width="2.6640625" style="107" customWidth="1"/>
    <col min="10236" max="10236" width="5.6640625" style="107" bestFit="1" customWidth="1"/>
    <col min="10237" max="10237" width="46.44140625" style="107" bestFit="1" customWidth="1"/>
    <col min="10238" max="10238" width="9.6640625" style="107" bestFit="1" customWidth="1"/>
    <col min="10239" max="10239" width="0" style="107" hidden="1" customWidth="1"/>
    <col min="10240" max="10244" width="9.6640625" style="107" bestFit="1" customWidth="1"/>
    <col min="10245" max="10490" width="5.5546875" style="107"/>
    <col min="10491" max="10491" width="2.6640625" style="107" customWidth="1"/>
    <col min="10492" max="10492" width="5.6640625" style="107" bestFit="1" customWidth="1"/>
    <col min="10493" max="10493" width="46.44140625" style="107" bestFit="1" customWidth="1"/>
    <col min="10494" max="10494" width="9.6640625" style="107" bestFit="1" customWidth="1"/>
    <col min="10495" max="10495" width="0" style="107" hidden="1" customWidth="1"/>
    <col min="10496" max="10500" width="9.6640625" style="107" bestFit="1" customWidth="1"/>
    <col min="10501" max="10746" width="5.5546875" style="107"/>
    <col min="10747" max="10747" width="2.6640625" style="107" customWidth="1"/>
    <col min="10748" max="10748" width="5.6640625" style="107" bestFit="1" customWidth="1"/>
    <col min="10749" max="10749" width="46.44140625" style="107" bestFit="1" customWidth="1"/>
    <col min="10750" max="10750" width="9.6640625" style="107" bestFit="1" customWidth="1"/>
    <col min="10751" max="10751" width="0" style="107" hidden="1" customWidth="1"/>
    <col min="10752" max="10756" width="9.6640625" style="107" bestFit="1" customWidth="1"/>
    <col min="10757" max="11002" width="5.5546875" style="107"/>
    <col min="11003" max="11003" width="2.6640625" style="107" customWidth="1"/>
    <col min="11004" max="11004" width="5.6640625" style="107" bestFit="1" customWidth="1"/>
    <col min="11005" max="11005" width="46.44140625" style="107" bestFit="1" customWidth="1"/>
    <col min="11006" max="11006" width="9.6640625" style="107" bestFit="1" customWidth="1"/>
    <col min="11007" max="11007" width="0" style="107" hidden="1" customWidth="1"/>
    <col min="11008" max="11012" width="9.6640625" style="107" bestFit="1" customWidth="1"/>
    <col min="11013" max="11258" width="5.5546875" style="107"/>
    <col min="11259" max="11259" width="2.6640625" style="107" customWidth="1"/>
    <col min="11260" max="11260" width="5.6640625" style="107" bestFit="1" customWidth="1"/>
    <col min="11261" max="11261" width="46.44140625" style="107" bestFit="1" customWidth="1"/>
    <col min="11262" max="11262" width="9.6640625" style="107" bestFit="1" customWidth="1"/>
    <col min="11263" max="11263" width="0" style="107" hidden="1" customWidth="1"/>
    <col min="11264" max="11268" width="9.6640625" style="107" bestFit="1" customWidth="1"/>
    <col min="11269" max="11514" width="5.5546875" style="107"/>
    <col min="11515" max="11515" width="2.6640625" style="107" customWidth="1"/>
    <col min="11516" max="11516" width="5.6640625" style="107" bestFit="1" customWidth="1"/>
    <col min="11517" max="11517" width="46.44140625" style="107" bestFit="1" customWidth="1"/>
    <col min="11518" max="11518" width="9.6640625" style="107" bestFit="1" customWidth="1"/>
    <col min="11519" max="11519" width="0" style="107" hidden="1" customWidth="1"/>
    <col min="11520" max="11524" width="9.6640625" style="107" bestFit="1" customWidth="1"/>
    <col min="11525" max="11770" width="5.5546875" style="107"/>
    <col min="11771" max="11771" width="2.6640625" style="107" customWidth="1"/>
    <col min="11772" max="11772" width="5.6640625" style="107" bestFit="1" customWidth="1"/>
    <col min="11773" max="11773" width="46.44140625" style="107" bestFit="1" customWidth="1"/>
    <col min="11774" max="11774" width="9.6640625" style="107" bestFit="1" customWidth="1"/>
    <col min="11775" max="11775" width="0" style="107" hidden="1" customWidth="1"/>
    <col min="11776" max="11780" width="9.6640625" style="107" bestFit="1" customWidth="1"/>
    <col min="11781" max="12026" width="5.5546875" style="107"/>
    <col min="12027" max="12027" width="2.6640625" style="107" customWidth="1"/>
    <col min="12028" max="12028" width="5.6640625" style="107" bestFit="1" customWidth="1"/>
    <col min="12029" max="12029" width="46.44140625" style="107" bestFit="1" customWidth="1"/>
    <col min="12030" max="12030" width="9.6640625" style="107" bestFit="1" customWidth="1"/>
    <col min="12031" max="12031" width="0" style="107" hidden="1" customWidth="1"/>
    <col min="12032" max="12036" width="9.6640625" style="107" bestFit="1" customWidth="1"/>
    <col min="12037" max="12282" width="5.5546875" style="107"/>
    <col min="12283" max="12283" width="2.6640625" style="107" customWidth="1"/>
    <col min="12284" max="12284" width="5.6640625" style="107" bestFit="1" customWidth="1"/>
    <col min="12285" max="12285" width="46.44140625" style="107" bestFit="1" customWidth="1"/>
    <col min="12286" max="12286" width="9.6640625" style="107" bestFit="1" customWidth="1"/>
    <col min="12287" max="12287" width="0" style="107" hidden="1" customWidth="1"/>
    <col min="12288" max="12292" width="9.6640625" style="107" bestFit="1" customWidth="1"/>
    <col min="12293" max="12538" width="5.5546875" style="107"/>
    <col min="12539" max="12539" width="2.6640625" style="107" customWidth="1"/>
    <col min="12540" max="12540" width="5.6640625" style="107" bestFit="1" customWidth="1"/>
    <col min="12541" max="12541" width="46.44140625" style="107" bestFit="1" customWidth="1"/>
    <col min="12542" max="12542" width="9.6640625" style="107" bestFit="1" customWidth="1"/>
    <col min="12543" max="12543" width="0" style="107" hidden="1" customWidth="1"/>
    <col min="12544" max="12548" width="9.6640625" style="107" bestFit="1" customWidth="1"/>
    <col min="12549" max="12794" width="5.5546875" style="107"/>
    <col min="12795" max="12795" width="2.6640625" style="107" customWidth="1"/>
    <col min="12796" max="12796" width="5.6640625" style="107" bestFit="1" customWidth="1"/>
    <col min="12797" max="12797" width="46.44140625" style="107" bestFit="1" customWidth="1"/>
    <col min="12798" max="12798" width="9.6640625" style="107" bestFit="1" customWidth="1"/>
    <col min="12799" max="12799" width="0" style="107" hidden="1" customWidth="1"/>
    <col min="12800" max="12804" width="9.6640625" style="107" bestFit="1" customWidth="1"/>
    <col min="12805" max="13050" width="5.5546875" style="107"/>
    <col min="13051" max="13051" width="2.6640625" style="107" customWidth="1"/>
    <col min="13052" max="13052" width="5.6640625" style="107" bestFit="1" customWidth="1"/>
    <col min="13053" max="13053" width="46.44140625" style="107" bestFit="1" customWidth="1"/>
    <col min="13054" max="13054" width="9.6640625" style="107" bestFit="1" customWidth="1"/>
    <col min="13055" max="13055" width="0" style="107" hidden="1" customWidth="1"/>
    <col min="13056" max="13060" width="9.6640625" style="107" bestFit="1" customWidth="1"/>
    <col min="13061" max="13306" width="5.5546875" style="107"/>
    <col min="13307" max="13307" width="2.6640625" style="107" customWidth="1"/>
    <col min="13308" max="13308" width="5.6640625" style="107" bestFit="1" customWidth="1"/>
    <col min="13309" max="13309" width="46.44140625" style="107" bestFit="1" customWidth="1"/>
    <col min="13310" max="13310" width="9.6640625" style="107" bestFit="1" customWidth="1"/>
    <col min="13311" max="13311" width="0" style="107" hidden="1" customWidth="1"/>
    <col min="13312" max="13316" width="9.6640625" style="107" bestFit="1" customWidth="1"/>
    <col min="13317" max="13562" width="5.5546875" style="107"/>
    <col min="13563" max="13563" width="2.6640625" style="107" customWidth="1"/>
    <col min="13564" max="13564" width="5.6640625" style="107" bestFit="1" customWidth="1"/>
    <col min="13565" max="13565" width="46.44140625" style="107" bestFit="1" customWidth="1"/>
    <col min="13566" max="13566" width="9.6640625" style="107" bestFit="1" customWidth="1"/>
    <col min="13567" max="13567" width="0" style="107" hidden="1" customWidth="1"/>
    <col min="13568" max="13572" width="9.6640625" style="107" bestFit="1" customWidth="1"/>
    <col min="13573" max="13818" width="5.5546875" style="107"/>
    <col min="13819" max="13819" width="2.6640625" style="107" customWidth="1"/>
    <col min="13820" max="13820" width="5.6640625" style="107" bestFit="1" customWidth="1"/>
    <col min="13821" max="13821" width="46.44140625" style="107" bestFit="1" customWidth="1"/>
    <col min="13822" max="13822" width="9.6640625" style="107" bestFit="1" customWidth="1"/>
    <col min="13823" max="13823" width="0" style="107" hidden="1" customWidth="1"/>
    <col min="13824" max="13828" width="9.6640625" style="107" bestFit="1" customWidth="1"/>
    <col min="13829" max="14074" width="5.5546875" style="107"/>
    <col min="14075" max="14075" width="2.6640625" style="107" customWidth="1"/>
    <col min="14076" max="14076" width="5.6640625" style="107" bestFit="1" customWidth="1"/>
    <col min="14077" max="14077" width="46.44140625" style="107" bestFit="1" customWidth="1"/>
    <col min="14078" max="14078" width="9.6640625" style="107" bestFit="1" customWidth="1"/>
    <col min="14079" max="14079" width="0" style="107" hidden="1" customWidth="1"/>
    <col min="14080" max="14084" width="9.6640625" style="107" bestFit="1" customWidth="1"/>
    <col min="14085" max="14330" width="5.5546875" style="107"/>
    <col min="14331" max="14331" width="2.6640625" style="107" customWidth="1"/>
    <col min="14332" max="14332" width="5.6640625" style="107" bestFit="1" customWidth="1"/>
    <col min="14333" max="14333" width="46.44140625" style="107" bestFit="1" customWidth="1"/>
    <col min="14334" max="14334" width="9.6640625" style="107" bestFit="1" customWidth="1"/>
    <col min="14335" max="14335" width="0" style="107" hidden="1" customWidth="1"/>
    <col min="14336" max="14340" width="9.6640625" style="107" bestFit="1" customWidth="1"/>
    <col min="14341" max="14586" width="5.5546875" style="107"/>
    <col min="14587" max="14587" width="2.6640625" style="107" customWidth="1"/>
    <col min="14588" max="14588" width="5.6640625" style="107" bestFit="1" customWidth="1"/>
    <col min="14589" max="14589" width="46.44140625" style="107" bestFit="1" customWidth="1"/>
    <col min="14590" max="14590" width="9.6640625" style="107" bestFit="1" customWidth="1"/>
    <col min="14591" max="14591" width="0" style="107" hidden="1" customWidth="1"/>
    <col min="14592" max="14596" width="9.6640625" style="107" bestFit="1" customWidth="1"/>
    <col min="14597" max="14842" width="5.5546875" style="107"/>
    <col min="14843" max="14843" width="2.6640625" style="107" customWidth="1"/>
    <col min="14844" max="14844" width="5.6640625" style="107" bestFit="1" customWidth="1"/>
    <col min="14845" max="14845" width="46.44140625" style="107" bestFit="1" customWidth="1"/>
    <col min="14846" max="14846" width="9.6640625" style="107" bestFit="1" customWidth="1"/>
    <col min="14847" max="14847" width="0" style="107" hidden="1" customWidth="1"/>
    <col min="14848" max="14852" width="9.6640625" style="107" bestFit="1" customWidth="1"/>
    <col min="14853" max="15098" width="5.5546875" style="107"/>
    <col min="15099" max="15099" width="2.6640625" style="107" customWidth="1"/>
    <col min="15100" max="15100" width="5.6640625" style="107" bestFit="1" customWidth="1"/>
    <col min="15101" max="15101" width="46.44140625" style="107" bestFit="1" customWidth="1"/>
    <col min="15102" max="15102" width="9.6640625" style="107" bestFit="1" customWidth="1"/>
    <col min="15103" max="15103" width="0" style="107" hidden="1" customWidth="1"/>
    <col min="15104" max="15108" width="9.6640625" style="107" bestFit="1" customWidth="1"/>
    <col min="15109" max="15354" width="5.5546875" style="107"/>
    <col min="15355" max="15355" width="2.6640625" style="107" customWidth="1"/>
    <col min="15356" max="15356" width="5.6640625" style="107" bestFit="1" customWidth="1"/>
    <col min="15357" max="15357" width="46.44140625" style="107" bestFit="1" customWidth="1"/>
    <col min="15358" max="15358" width="9.6640625" style="107" bestFit="1" customWidth="1"/>
    <col min="15359" max="15359" width="0" style="107" hidden="1" customWidth="1"/>
    <col min="15360" max="15364" width="9.6640625" style="107" bestFit="1" customWidth="1"/>
    <col min="15365" max="15610" width="5.5546875" style="107"/>
    <col min="15611" max="15611" width="2.6640625" style="107" customWidth="1"/>
    <col min="15612" max="15612" width="5.6640625" style="107" bestFit="1" customWidth="1"/>
    <col min="15613" max="15613" width="46.44140625" style="107" bestFit="1" customWidth="1"/>
    <col min="15614" max="15614" width="9.6640625" style="107" bestFit="1" customWidth="1"/>
    <col min="15615" max="15615" width="0" style="107" hidden="1" customWidth="1"/>
    <col min="15616" max="15620" width="9.6640625" style="107" bestFit="1" customWidth="1"/>
    <col min="15621" max="15866" width="5.5546875" style="107"/>
    <col min="15867" max="15867" width="2.6640625" style="107" customWidth="1"/>
    <col min="15868" max="15868" width="5.6640625" style="107" bestFit="1" customWidth="1"/>
    <col min="15869" max="15869" width="46.44140625" style="107" bestFit="1" customWidth="1"/>
    <col min="15870" max="15870" width="9.6640625" style="107" bestFit="1" customWidth="1"/>
    <col min="15871" max="15871" width="0" style="107" hidden="1" customWidth="1"/>
    <col min="15872" max="15876" width="9.6640625" style="107" bestFit="1" customWidth="1"/>
    <col min="15877" max="16122" width="5.5546875" style="107"/>
    <col min="16123" max="16123" width="2.6640625" style="107" customWidth="1"/>
    <col min="16124" max="16124" width="5.6640625" style="107" bestFit="1" customWidth="1"/>
    <col min="16125" max="16125" width="46.44140625" style="107" bestFit="1" customWidth="1"/>
    <col min="16126" max="16126" width="9.6640625" style="107" bestFit="1" customWidth="1"/>
    <col min="16127" max="16127" width="0" style="107" hidden="1" customWidth="1"/>
    <col min="16128" max="16132" width="9.6640625" style="107" bestFit="1" customWidth="1"/>
    <col min="16133" max="16384" width="5.5546875" style="107"/>
  </cols>
  <sheetData>
    <row r="2" spans="2:11" x14ac:dyDescent="0.3">
      <c r="B2" s="623" t="s">
        <v>610</v>
      </c>
      <c r="C2" s="623"/>
      <c r="D2" s="623"/>
      <c r="E2" s="623"/>
      <c r="F2" s="623"/>
      <c r="G2" s="623"/>
      <c r="H2" s="553"/>
    </row>
    <row r="3" spans="2:11" x14ac:dyDescent="0.3">
      <c r="B3" s="624" t="s">
        <v>611</v>
      </c>
      <c r="C3" s="624"/>
      <c r="D3" s="624"/>
      <c r="E3" s="624"/>
      <c r="F3" s="624"/>
      <c r="G3" s="624"/>
      <c r="H3" s="554"/>
    </row>
    <row r="4" spans="2:11" ht="13.2" customHeight="1" x14ac:dyDescent="0.3">
      <c r="B4" s="625" t="str">
        <f>'F3 (2)'!B4:D4</f>
        <v>CHHATTISGARH STATE POWER TRANSMISSION COMPANY LIMITED</v>
      </c>
      <c r="C4" s="625"/>
      <c r="D4" s="625"/>
      <c r="E4" s="625"/>
      <c r="F4" s="625"/>
      <c r="G4" s="625"/>
      <c r="H4" s="548"/>
    </row>
    <row r="5" spans="2:11" s="103" customFormat="1" ht="27.6" x14ac:dyDescent="0.3">
      <c r="B5" s="551" t="str">
        <f>'F3 (2)'!B5</f>
        <v>Sr. No</v>
      </c>
      <c r="C5" s="551" t="str">
        <f>'F3 (2)'!C5</f>
        <v>Particulars</v>
      </c>
      <c r="D5" s="550" t="s">
        <v>612</v>
      </c>
      <c r="E5" s="550" t="s">
        <v>613</v>
      </c>
      <c r="F5" s="550" t="s">
        <v>614</v>
      </c>
      <c r="G5" s="550" t="s">
        <v>615</v>
      </c>
      <c r="H5" s="549"/>
    </row>
    <row r="6" spans="2:11" s="108" customFormat="1" x14ac:dyDescent="0.3">
      <c r="B6" s="341"/>
      <c r="C6" s="341"/>
      <c r="D6" s="340"/>
      <c r="E6" s="360"/>
      <c r="F6" s="360"/>
      <c r="G6" s="360"/>
    </row>
    <row r="7" spans="2:11" s="109" customFormat="1" x14ac:dyDescent="0.3">
      <c r="B7" s="341" t="str">
        <f>'F6'!B28</f>
        <v>A</v>
      </c>
      <c r="C7" s="361" t="str">
        <f>'F6'!C28</f>
        <v>Tangible Assets (Under Lease)</v>
      </c>
      <c r="D7" s="340">
        <f>'F6'!I28</f>
        <v>0.28938036299999953</v>
      </c>
      <c r="E7" s="366">
        <f>'F6'!I28</f>
        <v>0.28938036299999953</v>
      </c>
      <c r="F7" s="366">
        <f>'F6'!I82</f>
        <v>0.28938036299999953</v>
      </c>
      <c r="G7" s="366">
        <f>'F6'!I111</f>
        <v>0.28938036299999953</v>
      </c>
      <c r="H7" s="82"/>
      <c r="I7" s="82"/>
      <c r="J7" s="82"/>
      <c r="K7" s="82"/>
    </row>
    <row r="8" spans="2:11" x14ac:dyDescent="0.3">
      <c r="B8" s="341">
        <f>'F6'!B29</f>
        <v>1</v>
      </c>
      <c r="C8" s="362" t="str">
        <f>'F6'!C29</f>
        <v>Leasehold Land (including land development  cost)</v>
      </c>
      <c r="D8" s="338">
        <f>'F6'!I29</f>
        <v>0.28938036299999953</v>
      </c>
      <c r="E8" s="367">
        <f>'F6'!I29</f>
        <v>0.28938036299999953</v>
      </c>
      <c r="F8" s="367">
        <f>'F6'!I83</f>
        <v>0.28938036299999953</v>
      </c>
      <c r="G8" s="367">
        <f>'F6'!I112</f>
        <v>0.28938036299999953</v>
      </c>
      <c r="H8" s="108"/>
      <c r="I8" s="108"/>
      <c r="J8" s="108"/>
      <c r="K8" s="108"/>
    </row>
    <row r="9" spans="2:11" x14ac:dyDescent="0.3">
      <c r="B9" s="341"/>
      <c r="C9" s="362"/>
      <c r="D9" s="338"/>
      <c r="E9" s="367">
        <f>'F6'!I30</f>
        <v>0</v>
      </c>
      <c r="F9" s="367">
        <f>'F6'!I84</f>
        <v>0</v>
      </c>
      <c r="G9" s="367"/>
      <c r="H9" s="108"/>
      <c r="I9" s="108"/>
      <c r="J9" s="108"/>
      <c r="K9" s="108"/>
    </row>
    <row r="10" spans="2:11" x14ac:dyDescent="0.3">
      <c r="B10" s="341" t="str">
        <f>'F6'!B31</f>
        <v>B</v>
      </c>
      <c r="C10" s="361" t="str">
        <f>'F6'!C31</f>
        <v xml:space="preserve">Tangible Assets </v>
      </c>
      <c r="D10" s="340">
        <f>'F6'!I31</f>
        <v>4714.9866971367301</v>
      </c>
      <c r="E10" s="367">
        <f>'F6'!H85</f>
        <v>5112.5395344197304</v>
      </c>
      <c r="F10" s="367">
        <f>'F6'!I85</f>
        <v>5451.972931619729</v>
      </c>
      <c r="G10" s="367">
        <f>'F6'!I114</f>
        <v>5586.8857298087296</v>
      </c>
      <c r="H10" s="108"/>
      <c r="I10" s="108"/>
      <c r="J10" s="108"/>
      <c r="K10" s="108"/>
    </row>
    <row r="11" spans="2:11" x14ac:dyDescent="0.3">
      <c r="B11" s="341">
        <f>'F6'!B32</f>
        <v>1</v>
      </c>
      <c r="C11" s="362" t="str">
        <f>'F6'!C32</f>
        <v>Land (including land development cost)</v>
      </c>
      <c r="D11" s="338">
        <f>'F6'!I32</f>
        <v>0.331655757</v>
      </c>
      <c r="E11" s="367">
        <f>'F6'!H86</f>
        <v>0.331655757</v>
      </c>
      <c r="F11" s="367">
        <f>'F6'!I86</f>
        <v>0.331655757</v>
      </c>
      <c r="G11" s="367">
        <f>'F6'!I115</f>
        <v>0.331655757</v>
      </c>
      <c r="H11" s="108"/>
      <c r="I11" s="108"/>
      <c r="J11" s="108"/>
      <c r="K11" s="108"/>
    </row>
    <row r="12" spans="2:11" x14ac:dyDescent="0.3">
      <c r="B12" s="341">
        <f>'F6'!B33</f>
        <v>2</v>
      </c>
      <c r="C12" s="362" t="str">
        <f>'F6'!C33</f>
        <v>Factory Buildings</v>
      </c>
      <c r="D12" s="338">
        <f>'F6'!I33</f>
        <v>29.910224695000004</v>
      </c>
      <c r="E12" s="367">
        <f>'F6'!H87</f>
        <v>35.841148961000009</v>
      </c>
      <c r="F12" s="367">
        <f>'F6'!I87</f>
        <v>36.544247128000009</v>
      </c>
      <c r="G12" s="367">
        <f>'F6'!I116</f>
        <v>37.481393961999999</v>
      </c>
      <c r="H12" s="108"/>
      <c r="I12" s="108"/>
      <c r="J12" s="108"/>
      <c r="K12" s="108"/>
    </row>
    <row r="13" spans="2:11" s="109" customFormat="1" x14ac:dyDescent="0.3">
      <c r="B13" s="341">
        <f>'F6'!B34</f>
        <v>3</v>
      </c>
      <c r="C13" s="362" t="str">
        <f>'F6'!C34</f>
        <v>Office Buildings</v>
      </c>
      <c r="D13" s="338">
        <f>'F6'!I34</f>
        <v>15.089756055999997</v>
      </c>
      <c r="E13" s="367">
        <f>'F6'!H88</f>
        <v>15.905446691999998</v>
      </c>
      <c r="F13" s="367">
        <f>'F6'!I88</f>
        <v>17.113362657</v>
      </c>
      <c r="G13" s="367">
        <f>'F6'!I117</f>
        <v>21.006356996999997</v>
      </c>
      <c r="H13" s="82"/>
      <c r="I13" s="82"/>
      <c r="J13" s="82"/>
      <c r="K13" s="82"/>
    </row>
    <row r="14" spans="2:11" s="109" customFormat="1" x14ac:dyDescent="0.3">
      <c r="B14" s="341">
        <f>'F6'!B35</f>
        <v>4</v>
      </c>
      <c r="C14" s="362" t="str">
        <f>'F6'!C35</f>
        <v>Residential &amp; Other Buidlings</v>
      </c>
      <c r="D14" s="338">
        <f>'F6'!I35</f>
        <v>6.1210402637297401</v>
      </c>
      <c r="E14" s="367">
        <f>'F6'!H89</f>
        <v>6.1210402637297401</v>
      </c>
      <c r="F14" s="367">
        <f>'F6'!I89</f>
        <v>6.1359133127297403</v>
      </c>
      <c r="G14" s="367">
        <f>'F6'!I118</f>
        <v>7.2143117207297403</v>
      </c>
      <c r="H14" s="82"/>
      <c r="I14" s="82"/>
      <c r="J14" s="82"/>
      <c r="K14" s="82"/>
    </row>
    <row r="15" spans="2:11" x14ac:dyDescent="0.3">
      <c r="B15" s="341">
        <f>'F6'!B36</f>
        <v>5</v>
      </c>
      <c r="C15" s="362" t="str">
        <f>'F6'!C36</f>
        <v>Hydraulic Works</v>
      </c>
      <c r="D15" s="338">
        <f>'F6'!I36</f>
        <v>0.49912061600000002</v>
      </c>
      <c r="E15" s="367">
        <f>'F6'!H90</f>
        <v>0.56700541100000001</v>
      </c>
      <c r="F15" s="367">
        <f>'F6'!I90</f>
        <v>0.9999533129999999</v>
      </c>
      <c r="G15" s="367">
        <f>'F6'!I119</f>
        <v>1.2016811549999999</v>
      </c>
      <c r="H15" s="108"/>
      <c r="I15" s="108"/>
      <c r="J15" s="108"/>
      <c r="K15" s="108"/>
    </row>
    <row r="16" spans="2:11" x14ac:dyDescent="0.3">
      <c r="B16" s="341">
        <f>'F6'!B37</f>
        <v>6</v>
      </c>
      <c r="C16" s="362" t="str">
        <f>'F6'!C37</f>
        <v>Roads &amp; Others</v>
      </c>
      <c r="D16" s="338">
        <f>'F6'!I37</f>
        <v>7.8774461990000013</v>
      </c>
      <c r="E16" s="367">
        <f>'F6'!H91</f>
        <v>9.2061939820000003</v>
      </c>
      <c r="F16" s="367">
        <f>'F6'!I91</f>
        <v>9.4358779850000012</v>
      </c>
      <c r="G16" s="367">
        <f>'F6'!I120</f>
        <v>11.111806897000001</v>
      </c>
      <c r="H16" s="108"/>
      <c r="I16" s="108"/>
      <c r="J16" s="108"/>
      <c r="K16" s="108"/>
    </row>
    <row r="17" spans="2:11" x14ac:dyDescent="0.3">
      <c r="B17" s="341">
        <f>'F6'!B38</f>
        <v>7</v>
      </c>
      <c r="C17" s="362" t="str">
        <f>'F6'!C38</f>
        <v>Plant, Machinery &amp; Equipments</v>
      </c>
      <c r="D17" s="338">
        <f>'F6'!I38</f>
        <v>2658.6078853379995</v>
      </c>
      <c r="E17" s="367">
        <f>'F6'!H92</f>
        <v>3034.8616982110002</v>
      </c>
      <c r="F17" s="367">
        <f>'F6'!I92</f>
        <v>3305.1335960060001</v>
      </c>
      <c r="G17" s="367">
        <f>'F6'!I121</f>
        <v>3419.1952155549993</v>
      </c>
      <c r="H17" s="108"/>
      <c r="I17" s="108"/>
      <c r="J17" s="108"/>
      <c r="K17" s="108"/>
    </row>
    <row r="18" spans="2:11" x14ac:dyDescent="0.3">
      <c r="B18" s="341">
        <f>'F6'!B39</f>
        <v>8</v>
      </c>
      <c r="C18" s="362" t="str">
        <f>'F6'!C39</f>
        <v>Lines &amp; Cable Networks</v>
      </c>
      <c r="D18" s="338">
        <f>'F6'!I39</f>
        <v>1984.514600752</v>
      </c>
      <c r="E18" s="367">
        <f>'F6'!H93</f>
        <v>1995.225228909</v>
      </c>
      <c r="F18" s="367">
        <f>'F6'!I93</f>
        <v>2061.2754599109999</v>
      </c>
      <c r="G18" s="367">
        <f>'F6'!I122</f>
        <v>2073.7146145729998</v>
      </c>
      <c r="H18" s="108"/>
      <c r="I18" s="108"/>
      <c r="J18" s="108"/>
      <c r="K18" s="108"/>
    </row>
    <row r="19" spans="2:11" x14ac:dyDescent="0.3">
      <c r="B19" s="341">
        <f>'F6'!B40</f>
        <v>9</v>
      </c>
      <c r="C19" s="362" t="str">
        <f>'F6'!C40</f>
        <v>Furniture and Fixtures</v>
      </c>
      <c r="D19" s="338">
        <f>'F6'!I40</f>
        <v>2.4381863379999995</v>
      </c>
      <c r="E19" s="367">
        <f>'F6'!H94</f>
        <v>2.6991379879999995</v>
      </c>
      <c r="F19" s="367">
        <f>'F6'!I94</f>
        <v>2.7408006759999992</v>
      </c>
      <c r="G19" s="367">
        <f>'F6'!I123</f>
        <v>2.9297214209999991</v>
      </c>
      <c r="H19" s="108"/>
      <c r="I19" s="108"/>
      <c r="J19" s="108"/>
      <c r="K19" s="108"/>
    </row>
    <row r="20" spans="2:11" x14ac:dyDescent="0.3">
      <c r="B20" s="341">
        <f>'F6'!B41</f>
        <v>10</v>
      </c>
      <c r="C20" s="362" t="str">
        <f>'F6'!C41</f>
        <v>Office Equipments</v>
      </c>
      <c r="D20" s="338">
        <f>'F6'!I41</f>
        <v>2.0455711320000001</v>
      </c>
      <c r="E20" s="367">
        <f>'F6'!H95</f>
        <v>2.3113870699999999</v>
      </c>
      <c r="F20" s="367">
        <f>'F6'!I95</f>
        <v>2.6431060139999998</v>
      </c>
      <c r="G20" s="367">
        <f>'F6'!I124</f>
        <v>2.9859030009999996</v>
      </c>
      <c r="H20" s="108"/>
      <c r="I20" s="108"/>
      <c r="J20" s="108"/>
      <c r="K20" s="108"/>
    </row>
    <row r="21" spans="2:11" s="109" customFormat="1" x14ac:dyDescent="0.3">
      <c r="B21" s="341">
        <f>'F6'!B42</f>
        <v>11</v>
      </c>
      <c r="C21" s="362" t="str">
        <f>'F6'!C42</f>
        <v>Vehicles</v>
      </c>
      <c r="D21" s="338">
        <f>'F6'!I42</f>
        <v>1.1304342000000001</v>
      </c>
      <c r="E21" s="367">
        <f>'F6'!H96</f>
        <v>1.1304342000000001</v>
      </c>
      <c r="F21" s="367">
        <f>'F6'!I96</f>
        <v>1.1304342000000001</v>
      </c>
      <c r="G21" s="367">
        <f>'F6'!I125</f>
        <v>1.1304342000000001</v>
      </c>
      <c r="H21" s="82"/>
      <c r="I21" s="82"/>
      <c r="J21" s="82"/>
      <c r="K21" s="82"/>
    </row>
    <row r="22" spans="2:11" x14ac:dyDescent="0.3">
      <c r="B22" s="341">
        <f>'F6'!B43</f>
        <v>12</v>
      </c>
      <c r="C22" s="362" t="str">
        <f>'F6'!C43</f>
        <v>Others</v>
      </c>
      <c r="D22" s="338">
        <f>'F6'!I43</f>
        <v>0</v>
      </c>
      <c r="E22" s="367">
        <f>'F6'!H97</f>
        <v>0</v>
      </c>
      <c r="F22" s="367">
        <f>'F6'!I97</f>
        <v>0</v>
      </c>
      <c r="G22" s="367">
        <f>'F6'!I126</f>
        <v>0</v>
      </c>
      <c r="H22" s="108"/>
      <c r="I22" s="108"/>
      <c r="J22" s="108"/>
      <c r="K22" s="108"/>
    </row>
    <row r="23" spans="2:11" x14ac:dyDescent="0.3">
      <c r="B23" s="341">
        <f>'F6'!B44</f>
        <v>13</v>
      </c>
      <c r="C23" s="362" t="str">
        <f>'F6'!C44</f>
        <v>Computer (Hardware, Software &amp; Peripherals)</v>
      </c>
      <c r="D23" s="338">
        <f>'F6'!I44</f>
        <v>6.4207757899999995</v>
      </c>
      <c r="E23" s="367">
        <f>'F6'!H98</f>
        <v>8.3391569749999999</v>
      </c>
      <c r="F23" s="367">
        <f>'F6'!I98</f>
        <v>8.4885246599999995</v>
      </c>
      <c r="G23" s="367">
        <f>'F6'!I127</f>
        <v>8.5826345699999997</v>
      </c>
      <c r="H23" s="108"/>
      <c r="I23" s="108"/>
      <c r="J23" s="108"/>
      <c r="K23" s="108"/>
    </row>
    <row r="24" spans="2:11" x14ac:dyDescent="0.3">
      <c r="B24" s="341"/>
      <c r="C24" s="362"/>
      <c r="D24" s="363"/>
      <c r="E24" s="368"/>
      <c r="F24" s="368"/>
      <c r="G24" s="360"/>
      <c r="H24" s="108"/>
      <c r="I24" s="108"/>
      <c r="J24" s="108"/>
      <c r="K24" s="108"/>
    </row>
    <row r="25" spans="2:11" x14ac:dyDescent="0.3">
      <c r="B25" s="341" t="s">
        <v>369</v>
      </c>
      <c r="C25" s="361" t="str">
        <f>[44]DEP!C46</f>
        <v>Total Tangible Assets</v>
      </c>
      <c r="D25" s="366">
        <f>SUM(D11:D23)+D7</f>
        <v>4715.2760774997305</v>
      </c>
      <c r="E25" s="366">
        <f>SUM(E11:E23)+E7</f>
        <v>5112.8289147827309</v>
      </c>
      <c r="F25" s="366">
        <f>SUM(F11:F23)+F7</f>
        <v>5452.2623119827294</v>
      </c>
      <c r="G25" s="366">
        <f>SUM(G11:G23)+G7</f>
        <v>5587.17511017173</v>
      </c>
      <c r="H25" s="108"/>
      <c r="I25" s="108"/>
      <c r="J25" s="108"/>
      <c r="K25" s="108"/>
    </row>
    <row r="26" spans="2:11" x14ac:dyDescent="0.3">
      <c r="B26" s="364"/>
      <c r="C26" s="622" t="s">
        <v>616</v>
      </c>
      <c r="D26" s="622"/>
      <c r="E26" s="622"/>
      <c r="F26" s="622"/>
      <c r="G26" s="622"/>
    </row>
    <row r="27" spans="2:11" x14ac:dyDescent="0.3">
      <c r="B27" s="364"/>
      <c r="C27" s="622" t="s">
        <v>617</v>
      </c>
      <c r="D27" s="622"/>
      <c r="E27" s="622"/>
      <c r="F27" s="622"/>
      <c r="G27" s="622"/>
    </row>
    <row r="28" spans="2:11" x14ac:dyDescent="0.3">
      <c r="B28" s="364"/>
      <c r="C28" s="622" t="s">
        <v>607</v>
      </c>
      <c r="D28" s="622"/>
      <c r="E28" s="622"/>
      <c r="F28" s="622"/>
      <c r="G28" s="622"/>
    </row>
    <row r="29" spans="2:11" x14ac:dyDescent="0.3">
      <c r="C29" s="110"/>
    </row>
  </sheetData>
  <mergeCells count="6">
    <mergeCell ref="C28:G28"/>
    <mergeCell ref="B2:G2"/>
    <mergeCell ref="B3:G3"/>
    <mergeCell ref="B4:G4"/>
    <mergeCell ref="C26:G26"/>
    <mergeCell ref="C27:G27"/>
  </mergeCells>
  <pageMargins left="0.7" right="0.7" top="0.75" bottom="0.75" header="0.3" footer="0.3"/>
  <pageSetup scale="54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B2:J32"/>
  <sheetViews>
    <sheetView showGridLines="0" view="pageBreakPreview" topLeftCell="A10" zoomScaleNormal="100" zoomScaleSheetLayoutView="100" workbookViewId="0">
      <selection activeCell="B2" sqref="B2:H30"/>
    </sheetView>
  </sheetViews>
  <sheetFormatPr defaultRowHeight="13.8" x14ac:dyDescent="0.3"/>
  <cols>
    <col min="1" max="1" width="2.6640625" style="77" customWidth="1"/>
    <col min="2" max="2" width="5.6640625" style="92" bestFit="1" customWidth="1"/>
    <col min="3" max="3" width="32.6640625" style="77" bestFit="1" customWidth="1"/>
    <col min="4" max="4" width="17.33203125" style="77" bestFit="1" customWidth="1"/>
    <col min="5" max="5" width="12.44140625" style="77" customWidth="1"/>
    <col min="6" max="6" width="14.33203125" style="77" customWidth="1"/>
    <col min="7" max="7" width="13.44140625" style="77" customWidth="1"/>
    <col min="8" max="8" width="13.33203125" style="77" customWidth="1"/>
    <col min="9" max="236" width="9.33203125" style="77"/>
    <col min="237" max="237" width="2.6640625" style="77" customWidth="1"/>
    <col min="238" max="238" width="5.6640625" style="77" bestFit="1" customWidth="1"/>
    <col min="239" max="239" width="32.6640625" style="77" bestFit="1" customWidth="1"/>
    <col min="240" max="240" width="0" style="77" hidden="1" customWidth="1"/>
    <col min="241" max="241" width="10.5546875" style="77" bestFit="1" customWidth="1"/>
    <col min="242" max="242" width="0" style="77" hidden="1" customWidth="1"/>
    <col min="243" max="248" width="10.5546875" style="77" bestFit="1" customWidth="1"/>
    <col min="249" max="249" width="12.44140625" style="77" customWidth="1"/>
    <col min="250" max="250" width="12.33203125" style="77" customWidth="1"/>
    <col min="251" max="251" width="10.5546875" style="77" bestFit="1" customWidth="1"/>
    <col min="252" max="252" width="0" style="77" hidden="1" customWidth="1"/>
    <col min="253" max="258" width="10.5546875" style="77" bestFit="1" customWidth="1"/>
    <col min="259" max="259" width="0" style="77" hidden="1" customWidth="1"/>
    <col min="260" max="264" width="10.5546875" style="77" bestFit="1" customWidth="1"/>
    <col min="265" max="492" width="9.33203125" style="77"/>
    <col min="493" max="493" width="2.6640625" style="77" customWidth="1"/>
    <col min="494" max="494" width="5.6640625" style="77" bestFit="1" customWidth="1"/>
    <col min="495" max="495" width="32.6640625" style="77" bestFit="1" customWidth="1"/>
    <col min="496" max="496" width="0" style="77" hidden="1" customWidth="1"/>
    <col min="497" max="497" width="10.5546875" style="77" bestFit="1" customWidth="1"/>
    <col min="498" max="498" width="0" style="77" hidden="1" customWidth="1"/>
    <col min="499" max="504" width="10.5546875" style="77" bestFit="1" customWidth="1"/>
    <col min="505" max="505" width="12.44140625" style="77" customWidth="1"/>
    <col min="506" max="506" width="12.33203125" style="77" customWidth="1"/>
    <col min="507" max="507" width="10.5546875" style="77" bestFit="1" customWidth="1"/>
    <col min="508" max="508" width="0" style="77" hidden="1" customWidth="1"/>
    <col min="509" max="514" width="10.5546875" style="77" bestFit="1" customWidth="1"/>
    <col min="515" max="515" width="0" style="77" hidden="1" customWidth="1"/>
    <col min="516" max="520" width="10.5546875" style="77" bestFit="1" customWidth="1"/>
    <col min="521" max="748" width="9.33203125" style="77"/>
    <col min="749" max="749" width="2.6640625" style="77" customWidth="1"/>
    <col min="750" max="750" width="5.6640625" style="77" bestFit="1" customWidth="1"/>
    <col min="751" max="751" width="32.6640625" style="77" bestFit="1" customWidth="1"/>
    <col min="752" max="752" width="0" style="77" hidden="1" customWidth="1"/>
    <col min="753" max="753" width="10.5546875" style="77" bestFit="1" customWidth="1"/>
    <col min="754" max="754" width="0" style="77" hidden="1" customWidth="1"/>
    <col min="755" max="760" width="10.5546875" style="77" bestFit="1" customWidth="1"/>
    <col min="761" max="761" width="12.44140625" style="77" customWidth="1"/>
    <col min="762" max="762" width="12.33203125" style="77" customWidth="1"/>
    <col min="763" max="763" width="10.5546875" style="77" bestFit="1" customWidth="1"/>
    <col min="764" max="764" width="0" style="77" hidden="1" customWidth="1"/>
    <col min="765" max="770" width="10.5546875" style="77" bestFit="1" customWidth="1"/>
    <col min="771" max="771" width="0" style="77" hidden="1" customWidth="1"/>
    <col min="772" max="776" width="10.5546875" style="77" bestFit="1" customWidth="1"/>
    <col min="777" max="1004" width="9.33203125" style="77"/>
    <col min="1005" max="1005" width="2.6640625" style="77" customWidth="1"/>
    <col min="1006" max="1006" width="5.6640625" style="77" bestFit="1" customWidth="1"/>
    <col min="1007" max="1007" width="32.6640625" style="77" bestFit="1" customWidth="1"/>
    <col min="1008" max="1008" width="0" style="77" hidden="1" customWidth="1"/>
    <col min="1009" max="1009" width="10.5546875" style="77" bestFit="1" customWidth="1"/>
    <col min="1010" max="1010" width="0" style="77" hidden="1" customWidth="1"/>
    <col min="1011" max="1016" width="10.5546875" style="77" bestFit="1" customWidth="1"/>
    <col min="1017" max="1017" width="12.44140625" style="77" customWidth="1"/>
    <col min="1018" max="1018" width="12.33203125" style="77" customWidth="1"/>
    <col min="1019" max="1019" width="10.5546875" style="77" bestFit="1" customWidth="1"/>
    <col min="1020" max="1020" width="0" style="77" hidden="1" customWidth="1"/>
    <col min="1021" max="1026" width="10.5546875" style="77" bestFit="1" customWidth="1"/>
    <col min="1027" max="1027" width="0" style="77" hidden="1" customWidth="1"/>
    <col min="1028" max="1032" width="10.5546875" style="77" bestFit="1" customWidth="1"/>
    <col min="1033" max="1260" width="9.33203125" style="77"/>
    <col min="1261" max="1261" width="2.6640625" style="77" customWidth="1"/>
    <col min="1262" max="1262" width="5.6640625" style="77" bestFit="1" customWidth="1"/>
    <col min="1263" max="1263" width="32.6640625" style="77" bestFit="1" customWidth="1"/>
    <col min="1264" max="1264" width="0" style="77" hidden="1" customWidth="1"/>
    <col min="1265" max="1265" width="10.5546875" style="77" bestFit="1" customWidth="1"/>
    <col min="1266" max="1266" width="0" style="77" hidden="1" customWidth="1"/>
    <col min="1267" max="1272" width="10.5546875" style="77" bestFit="1" customWidth="1"/>
    <col min="1273" max="1273" width="12.44140625" style="77" customWidth="1"/>
    <col min="1274" max="1274" width="12.33203125" style="77" customWidth="1"/>
    <col min="1275" max="1275" width="10.5546875" style="77" bestFit="1" customWidth="1"/>
    <col min="1276" max="1276" width="0" style="77" hidden="1" customWidth="1"/>
    <col min="1277" max="1282" width="10.5546875" style="77" bestFit="1" customWidth="1"/>
    <col min="1283" max="1283" width="0" style="77" hidden="1" customWidth="1"/>
    <col min="1284" max="1288" width="10.5546875" style="77" bestFit="1" customWidth="1"/>
    <col min="1289" max="1516" width="9.33203125" style="77"/>
    <col min="1517" max="1517" width="2.6640625" style="77" customWidth="1"/>
    <col min="1518" max="1518" width="5.6640625" style="77" bestFit="1" customWidth="1"/>
    <col min="1519" max="1519" width="32.6640625" style="77" bestFit="1" customWidth="1"/>
    <col min="1520" max="1520" width="0" style="77" hidden="1" customWidth="1"/>
    <col min="1521" max="1521" width="10.5546875" style="77" bestFit="1" customWidth="1"/>
    <col min="1522" max="1522" width="0" style="77" hidden="1" customWidth="1"/>
    <col min="1523" max="1528" width="10.5546875" style="77" bestFit="1" customWidth="1"/>
    <col min="1529" max="1529" width="12.44140625" style="77" customWidth="1"/>
    <col min="1530" max="1530" width="12.33203125" style="77" customWidth="1"/>
    <col min="1531" max="1531" width="10.5546875" style="77" bestFit="1" customWidth="1"/>
    <col min="1532" max="1532" width="0" style="77" hidden="1" customWidth="1"/>
    <col min="1533" max="1538" width="10.5546875" style="77" bestFit="1" customWidth="1"/>
    <col min="1539" max="1539" width="0" style="77" hidden="1" customWidth="1"/>
    <col min="1540" max="1544" width="10.5546875" style="77" bestFit="1" customWidth="1"/>
    <col min="1545" max="1772" width="9.33203125" style="77"/>
    <col min="1773" max="1773" width="2.6640625" style="77" customWidth="1"/>
    <col min="1774" max="1774" width="5.6640625" style="77" bestFit="1" customWidth="1"/>
    <col min="1775" max="1775" width="32.6640625" style="77" bestFit="1" customWidth="1"/>
    <col min="1776" max="1776" width="0" style="77" hidden="1" customWidth="1"/>
    <col min="1777" max="1777" width="10.5546875" style="77" bestFit="1" customWidth="1"/>
    <col min="1778" max="1778" width="0" style="77" hidden="1" customWidth="1"/>
    <col min="1779" max="1784" width="10.5546875" style="77" bestFit="1" customWidth="1"/>
    <col min="1785" max="1785" width="12.44140625" style="77" customWidth="1"/>
    <col min="1786" max="1786" width="12.33203125" style="77" customWidth="1"/>
    <col min="1787" max="1787" width="10.5546875" style="77" bestFit="1" customWidth="1"/>
    <col min="1788" max="1788" width="0" style="77" hidden="1" customWidth="1"/>
    <col min="1789" max="1794" width="10.5546875" style="77" bestFit="1" customWidth="1"/>
    <col min="1795" max="1795" width="0" style="77" hidden="1" customWidth="1"/>
    <col min="1796" max="1800" width="10.5546875" style="77" bestFit="1" customWidth="1"/>
    <col min="1801" max="2028" width="9.33203125" style="77"/>
    <col min="2029" max="2029" width="2.6640625" style="77" customWidth="1"/>
    <col min="2030" max="2030" width="5.6640625" style="77" bestFit="1" customWidth="1"/>
    <col min="2031" max="2031" width="32.6640625" style="77" bestFit="1" customWidth="1"/>
    <col min="2032" max="2032" width="0" style="77" hidden="1" customWidth="1"/>
    <col min="2033" max="2033" width="10.5546875" style="77" bestFit="1" customWidth="1"/>
    <col min="2034" max="2034" width="0" style="77" hidden="1" customWidth="1"/>
    <col min="2035" max="2040" width="10.5546875" style="77" bestFit="1" customWidth="1"/>
    <col min="2041" max="2041" width="12.44140625" style="77" customWidth="1"/>
    <col min="2042" max="2042" width="12.33203125" style="77" customWidth="1"/>
    <col min="2043" max="2043" width="10.5546875" style="77" bestFit="1" customWidth="1"/>
    <col min="2044" max="2044" width="0" style="77" hidden="1" customWidth="1"/>
    <col min="2045" max="2050" width="10.5546875" style="77" bestFit="1" customWidth="1"/>
    <col min="2051" max="2051" width="0" style="77" hidden="1" customWidth="1"/>
    <col min="2052" max="2056" width="10.5546875" style="77" bestFit="1" customWidth="1"/>
    <col min="2057" max="2284" width="9.33203125" style="77"/>
    <col min="2285" max="2285" width="2.6640625" style="77" customWidth="1"/>
    <col min="2286" max="2286" width="5.6640625" style="77" bestFit="1" customWidth="1"/>
    <col min="2287" max="2287" width="32.6640625" style="77" bestFit="1" customWidth="1"/>
    <col min="2288" max="2288" width="0" style="77" hidden="1" customWidth="1"/>
    <col min="2289" max="2289" width="10.5546875" style="77" bestFit="1" customWidth="1"/>
    <col min="2290" max="2290" width="0" style="77" hidden="1" customWidth="1"/>
    <col min="2291" max="2296" width="10.5546875" style="77" bestFit="1" customWidth="1"/>
    <col min="2297" max="2297" width="12.44140625" style="77" customWidth="1"/>
    <col min="2298" max="2298" width="12.33203125" style="77" customWidth="1"/>
    <col min="2299" max="2299" width="10.5546875" style="77" bestFit="1" customWidth="1"/>
    <col min="2300" max="2300" width="0" style="77" hidden="1" customWidth="1"/>
    <col min="2301" max="2306" width="10.5546875" style="77" bestFit="1" customWidth="1"/>
    <col min="2307" max="2307" width="0" style="77" hidden="1" customWidth="1"/>
    <col min="2308" max="2312" width="10.5546875" style="77" bestFit="1" customWidth="1"/>
    <col min="2313" max="2540" width="9.33203125" style="77"/>
    <col min="2541" max="2541" width="2.6640625" style="77" customWidth="1"/>
    <col min="2542" max="2542" width="5.6640625" style="77" bestFit="1" customWidth="1"/>
    <col min="2543" max="2543" width="32.6640625" style="77" bestFit="1" customWidth="1"/>
    <col min="2544" max="2544" width="0" style="77" hidden="1" customWidth="1"/>
    <col min="2545" max="2545" width="10.5546875" style="77" bestFit="1" customWidth="1"/>
    <col min="2546" max="2546" width="0" style="77" hidden="1" customWidth="1"/>
    <col min="2547" max="2552" width="10.5546875" style="77" bestFit="1" customWidth="1"/>
    <col min="2553" max="2553" width="12.44140625" style="77" customWidth="1"/>
    <col min="2554" max="2554" width="12.33203125" style="77" customWidth="1"/>
    <col min="2555" max="2555" width="10.5546875" style="77" bestFit="1" customWidth="1"/>
    <col min="2556" max="2556" width="0" style="77" hidden="1" customWidth="1"/>
    <col min="2557" max="2562" width="10.5546875" style="77" bestFit="1" customWidth="1"/>
    <col min="2563" max="2563" width="0" style="77" hidden="1" customWidth="1"/>
    <col min="2564" max="2568" width="10.5546875" style="77" bestFit="1" customWidth="1"/>
    <col min="2569" max="2796" width="9.33203125" style="77"/>
    <col min="2797" max="2797" width="2.6640625" style="77" customWidth="1"/>
    <col min="2798" max="2798" width="5.6640625" style="77" bestFit="1" customWidth="1"/>
    <col min="2799" max="2799" width="32.6640625" style="77" bestFit="1" customWidth="1"/>
    <col min="2800" max="2800" width="0" style="77" hidden="1" customWidth="1"/>
    <col min="2801" max="2801" width="10.5546875" style="77" bestFit="1" customWidth="1"/>
    <col min="2802" max="2802" width="0" style="77" hidden="1" customWidth="1"/>
    <col min="2803" max="2808" width="10.5546875" style="77" bestFit="1" customWidth="1"/>
    <col min="2809" max="2809" width="12.44140625" style="77" customWidth="1"/>
    <col min="2810" max="2810" width="12.33203125" style="77" customWidth="1"/>
    <col min="2811" max="2811" width="10.5546875" style="77" bestFit="1" customWidth="1"/>
    <col min="2812" max="2812" width="0" style="77" hidden="1" customWidth="1"/>
    <col min="2813" max="2818" width="10.5546875" style="77" bestFit="1" customWidth="1"/>
    <col min="2819" max="2819" width="0" style="77" hidden="1" customWidth="1"/>
    <col min="2820" max="2824" width="10.5546875" style="77" bestFit="1" customWidth="1"/>
    <col min="2825" max="3052" width="9.33203125" style="77"/>
    <col min="3053" max="3053" width="2.6640625" style="77" customWidth="1"/>
    <col min="3054" max="3054" width="5.6640625" style="77" bestFit="1" customWidth="1"/>
    <col min="3055" max="3055" width="32.6640625" style="77" bestFit="1" customWidth="1"/>
    <col min="3056" max="3056" width="0" style="77" hidden="1" customWidth="1"/>
    <col min="3057" max="3057" width="10.5546875" style="77" bestFit="1" customWidth="1"/>
    <col min="3058" max="3058" width="0" style="77" hidden="1" customWidth="1"/>
    <col min="3059" max="3064" width="10.5546875" style="77" bestFit="1" customWidth="1"/>
    <col min="3065" max="3065" width="12.44140625" style="77" customWidth="1"/>
    <col min="3066" max="3066" width="12.33203125" style="77" customWidth="1"/>
    <col min="3067" max="3067" width="10.5546875" style="77" bestFit="1" customWidth="1"/>
    <col min="3068" max="3068" width="0" style="77" hidden="1" customWidth="1"/>
    <col min="3069" max="3074" width="10.5546875" style="77" bestFit="1" customWidth="1"/>
    <col min="3075" max="3075" width="0" style="77" hidden="1" customWidth="1"/>
    <col min="3076" max="3080" width="10.5546875" style="77" bestFit="1" customWidth="1"/>
    <col min="3081" max="3308" width="9.33203125" style="77"/>
    <col min="3309" max="3309" width="2.6640625" style="77" customWidth="1"/>
    <col min="3310" max="3310" width="5.6640625" style="77" bestFit="1" customWidth="1"/>
    <col min="3311" max="3311" width="32.6640625" style="77" bestFit="1" customWidth="1"/>
    <col min="3312" max="3312" width="0" style="77" hidden="1" customWidth="1"/>
    <col min="3313" max="3313" width="10.5546875" style="77" bestFit="1" customWidth="1"/>
    <col min="3314" max="3314" width="0" style="77" hidden="1" customWidth="1"/>
    <col min="3315" max="3320" width="10.5546875" style="77" bestFit="1" customWidth="1"/>
    <col min="3321" max="3321" width="12.44140625" style="77" customWidth="1"/>
    <col min="3322" max="3322" width="12.33203125" style="77" customWidth="1"/>
    <col min="3323" max="3323" width="10.5546875" style="77" bestFit="1" customWidth="1"/>
    <col min="3324" max="3324" width="0" style="77" hidden="1" customWidth="1"/>
    <col min="3325" max="3330" width="10.5546875" style="77" bestFit="1" customWidth="1"/>
    <col min="3331" max="3331" width="0" style="77" hidden="1" customWidth="1"/>
    <col min="3332" max="3336" width="10.5546875" style="77" bestFit="1" customWidth="1"/>
    <col min="3337" max="3564" width="9.33203125" style="77"/>
    <col min="3565" max="3565" width="2.6640625" style="77" customWidth="1"/>
    <col min="3566" max="3566" width="5.6640625" style="77" bestFit="1" customWidth="1"/>
    <col min="3567" max="3567" width="32.6640625" style="77" bestFit="1" customWidth="1"/>
    <col min="3568" max="3568" width="0" style="77" hidden="1" customWidth="1"/>
    <col min="3569" max="3569" width="10.5546875" style="77" bestFit="1" customWidth="1"/>
    <col min="3570" max="3570" width="0" style="77" hidden="1" customWidth="1"/>
    <col min="3571" max="3576" width="10.5546875" style="77" bestFit="1" customWidth="1"/>
    <col min="3577" max="3577" width="12.44140625" style="77" customWidth="1"/>
    <col min="3578" max="3578" width="12.33203125" style="77" customWidth="1"/>
    <col min="3579" max="3579" width="10.5546875" style="77" bestFit="1" customWidth="1"/>
    <col min="3580" max="3580" width="0" style="77" hidden="1" customWidth="1"/>
    <col min="3581" max="3586" width="10.5546875" style="77" bestFit="1" customWidth="1"/>
    <col min="3587" max="3587" width="0" style="77" hidden="1" customWidth="1"/>
    <col min="3588" max="3592" width="10.5546875" style="77" bestFit="1" customWidth="1"/>
    <col min="3593" max="3820" width="9.33203125" style="77"/>
    <col min="3821" max="3821" width="2.6640625" style="77" customWidth="1"/>
    <col min="3822" max="3822" width="5.6640625" style="77" bestFit="1" customWidth="1"/>
    <col min="3823" max="3823" width="32.6640625" style="77" bestFit="1" customWidth="1"/>
    <col min="3824" max="3824" width="0" style="77" hidden="1" customWidth="1"/>
    <col min="3825" max="3825" width="10.5546875" style="77" bestFit="1" customWidth="1"/>
    <col min="3826" max="3826" width="0" style="77" hidden="1" customWidth="1"/>
    <col min="3827" max="3832" width="10.5546875" style="77" bestFit="1" customWidth="1"/>
    <col min="3833" max="3833" width="12.44140625" style="77" customWidth="1"/>
    <col min="3834" max="3834" width="12.33203125" style="77" customWidth="1"/>
    <col min="3835" max="3835" width="10.5546875" style="77" bestFit="1" customWidth="1"/>
    <col min="3836" max="3836" width="0" style="77" hidden="1" customWidth="1"/>
    <col min="3837" max="3842" width="10.5546875" style="77" bestFit="1" customWidth="1"/>
    <col min="3843" max="3843" width="0" style="77" hidden="1" customWidth="1"/>
    <col min="3844" max="3848" width="10.5546875" style="77" bestFit="1" customWidth="1"/>
    <col min="3849" max="4076" width="9.33203125" style="77"/>
    <col min="4077" max="4077" width="2.6640625" style="77" customWidth="1"/>
    <col min="4078" max="4078" width="5.6640625" style="77" bestFit="1" customWidth="1"/>
    <col min="4079" max="4079" width="32.6640625" style="77" bestFit="1" customWidth="1"/>
    <col min="4080" max="4080" width="0" style="77" hidden="1" customWidth="1"/>
    <col min="4081" max="4081" width="10.5546875" style="77" bestFit="1" customWidth="1"/>
    <col min="4082" max="4082" width="0" style="77" hidden="1" customWidth="1"/>
    <col min="4083" max="4088" width="10.5546875" style="77" bestFit="1" customWidth="1"/>
    <col min="4089" max="4089" width="12.44140625" style="77" customWidth="1"/>
    <col min="4090" max="4090" width="12.33203125" style="77" customWidth="1"/>
    <col min="4091" max="4091" width="10.5546875" style="77" bestFit="1" customWidth="1"/>
    <col min="4092" max="4092" width="0" style="77" hidden="1" customWidth="1"/>
    <col min="4093" max="4098" width="10.5546875" style="77" bestFit="1" customWidth="1"/>
    <col min="4099" max="4099" width="0" style="77" hidden="1" customWidth="1"/>
    <col min="4100" max="4104" width="10.5546875" style="77" bestFit="1" customWidth="1"/>
    <col min="4105" max="4332" width="9.33203125" style="77"/>
    <col min="4333" max="4333" width="2.6640625" style="77" customWidth="1"/>
    <col min="4334" max="4334" width="5.6640625" style="77" bestFit="1" customWidth="1"/>
    <col min="4335" max="4335" width="32.6640625" style="77" bestFit="1" customWidth="1"/>
    <col min="4336" max="4336" width="0" style="77" hidden="1" customWidth="1"/>
    <col min="4337" max="4337" width="10.5546875" style="77" bestFit="1" customWidth="1"/>
    <col min="4338" max="4338" width="0" style="77" hidden="1" customWidth="1"/>
    <col min="4339" max="4344" width="10.5546875" style="77" bestFit="1" customWidth="1"/>
    <col min="4345" max="4345" width="12.44140625" style="77" customWidth="1"/>
    <col min="4346" max="4346" width="12.33203125" style="77" customWidth="1"/>
    <col min="4347" max="4347" width="10.5546875" style="77" bestFit="1" customWidth="1"/>
    <col min="4348" max="4348" width="0" style="77" hidden="1" customWidth="1"/>
    <col min="4349" max="4354" width="10.5546875" style="77" bestFit="1" customWidth="1"/>
    <col min="4355" max="4355" width="0" style="77" hidden="1" customWidth="1"/>
    <col min="4356" max="4360" width="10.5546875" style="77" bestFit="1" customWidth="1"/>
    <col min="4361" max="4588" width="9.33203125" style="77"/>
    <col min="4589" max="4589" width="2.6640625" style="77" customWidth="1"/>
    <col min="4590" max="4590" width="5.6640625" style="77" bestFit="1" customWidth="1"/>
    <col min="4591" max="4591" width="32.6640625" style="77" bestFit="1" customWidth="1"/>
    <col min="4592" max="4592" width="0" style="77" hidden="1" customWidth="1"/>
    <col min="4593" max="4593" width="10.5546875" style="77" bestFit="1" customWidth="1"/>
    <col min="4594" max="4594" width="0" style="77" hidden="1" customWidth="1"/>
    <col min="4595" max="4600" width="10.5546875" style="77" bestFit="1" customWidth="1"/>
    <col min="4601" max="4601" width="12.44140625" style="77" customWidth="1"/>
    <col min="4602" max="4602" width="12.33203125" style="77" customWidth="1"/>
    <col min="4603" max="4603" width="10.5546875" style="77" bestFit="1" customWidth="1"/>
    <col min="4604" max="4604" width="0" style="77" hidden="1" customWidth="1"/>
    <col min="4605" max="4610" width="10.5546875" style="77" bestFit="1" customWidth="1"/>
    <col min="4611" max="4611" width="0" style="77" hidden="1" customWidth="1"/>
    <col min="4612" max="4616" width="10.5546875" style="77" bestFit="1" customWidth="1"/>
    <col min="4617" max="4844" width="9.33203125" style="77"/>
    <col min="4845" max="4845" width="2.6640625" style="77" customWidth="1"/>
    <col min="4846" max="4846" width="5.6640625" style="77" bestFit="1" customWidth="1"/>
    <col min="4847" max="4847" width="32.6640625" style="77" bestFit="1" customWidth="1"/>
    <col min="4848" max="4848" width="0" style="77" hidden="1" customWidth="1"/>
    <col min="4849" max="4849" width="10.5546875" style="77" bestFit="1" customWidth="1"/>
    <col min="4850" max="4850" width="0" style="77" hidden="1" customWidth="1"/>
    <col min="4851" max="4856" width="10.5546875" style="77" bestFit="1" customWidth="1"/>
    <col min="4857" max="4857" width="12.44140625" style="77" customWidth="1"/>
    <col min="4858" max="4858" width="12.33203125" style="77" customWidth="1"/>
    <col min="4859" max="4859" width="10.5546875" style="77" bestFit="1" customWidth="1"/>
    <col min="4860" max="4860" width="0" style="77" hidden="1" customWidth="1"/>
    <col min="4861" max="4866" width="10.5546875" style="77" bestFit="1" customWidth="1"/>
    <col min="4867" max="4867" width="0" style="77" hidden="1" customWidth="1"/>
    <col min="4868" max="4872" width="10.5546875" style="77" bestFit="1" customWidth="1"/>
    <col min="4873" max="5100" width="9.33203125" style="77"/>
    <col min="5101" max="5101" width="2.6640625" style="77" customWidth="1"/>
    <col min="5102" max="5102" width="5.6640625" style="77" bestFit="1" customWidth="1"/>
    <col min="5103" max="5103" width="32.6640625" style="77" bestFit="1" customWidth="1"/>
    <col min="5104" max="5104" width="0" style="77" hidden="1" customWidth="1"/>
    <col min="5105" max="5105" width="10.5546875" style="77" bestFit="1" customWidth="1"/>
    <col min="5106" max="5106" width="0" style="77" hidden="1" customWidth="1"/>
    <col min="5107" max="5112" width="10.5546875" style="77" bestFit="1" customWidth="1"/>
    <col min="5113" max="5113" width="12.44140625" style="77" customWidth="1"/>
    <col min="5114" max="5114" width="12.33203125" style="77" customWidth="1"/>
    <col min="5115" max="5115" width="10.5546875" style="77" bestFit="1" customWidth="1"/>
    <col min="5116" max="5116" width="0" style="77" hidden="1" customWidth="1"/>
    <col min="5117" max="5122" width="10.5546875" style="77" bestFit="1" customWidth="1"/>
    <col min="5123" max="5123" width="0" style="77" hidden="1" customWidth="1"/>
    <col min="5124" max="5128" width="10.5546875" style="77" bestFit="1" customWidth="1"/>
    <col min="5129" max="5356" width="9.33203125" style="77"/>
    <col min="5357" max="5357" width="2.6640625" style="77" customWidth="1"/>
    <col min="5358" max="5358" width="5.6640625" style="77" bestFit="1" customWidth="1"/>
    <col min="5359" max="5359" width="32.6640625" style="77" bestFit="1" customWidth="1"/>
    <col min="5360" max="5360" width="0" style="77" hidden="1" customWidth="1"/>
    <col min="5361" max="5361" width="10.5546875" style="77" bestFit="1" customWidth="1"/>
    <col min="5362" max="5362" width="0" style="77" hidden="1" customWidth="1"/>
    <col min="5363" max="5368" width="10.5546875" style="77" bestFit="1" customWidth="1"/>
    <col min="5369" max="5369" width="12.44140625" style="77" customWidth="1"/>
    <col min="5370" max="5370" width="12.33203125" style="77" customWidth="1"/>
    <col min="5371" max="5371" width="10.5546875" style="77" bestFit="1" customWidth="1"/>
    <col min="5372" max="5372" width="0" style="77" hidden="1" customWidth="1"/>
    <col min="5373" max="5378" width="10.5546875" style="77" bestFit="1" customWidth="1"/>
    <col min="5379" max="5379" width="0" style="77" hidden="1" customWidth="1"/>
    <col min="5380" max="5384" width="10.5546875" style="77" bestFit="1" customWidth="1"/>
    <col min="5385" max="5612" width="9.33203125" style="77"/>
    <col min="5613" max="5613" width="2.6640625" style="77" customWidth="1"/>
    <col min="5614" max="5614" width="5.6640625" style="77" bestFit="1" customWidth="1"/>
    <col min="5615" max="5615" width="32.6640625" style="77" bestFit="1" customWidth="1"/>
    <col min="5616" max="5616" width="0" style="77" hidden="1" customWidth="1"/>
    <col min="5617" max="5617" width="10.5546875" style="77" bestFit="1" customWidth="1"/>
    <col min="5618" max="5618" width="0" style="77" hidden="1" customWidth="1"/>
    <col min="5619" max="5624" width="10.5546875" style="77" bestFit="1" customWidth="1"/>
    <col min="5625" max="5625" width="12.44140625" style="77" customWidth="1"/>
    <col min="5626" max="5626" width="12.33203125" style="77" customWidth="1"/>
    <col min="5627" max="5627" width="10.5546875" style="77" bestFit="1" customWidth="1"/>
    <col min="5628" max="5628" width="0" style="77" hidden="1" customWidth="1"/>
    <col min="5629" max="5634" width="10.5546875" style="77" bestFit="1" customWidth="1"/>
    <col min="5635" max="5635" width="0" style="77" hidden="1" customWidth="1"/>
    <col min="5636" max="5640" width="10.5546875" style="77" bestFit="1" customWidth="1"/>
    <col min="5641" max="5868" width="9.33203125" style="77"/>
    <col min="5869" max="5869" width="2.6640625" style="77" customWidth="1"/>
    <col min="5870" max="5870" width="5.6640625" style="77" bestFit="1" customWidth="1"/>
    <col min="5871" max="5871" width="32.6640625" style="77" bestFit="1" customWidth="1"/>
    <col min="5872" max="5872" width="0" style="77" hidden="1" customWidth="1"/>
    <col min="5873" max="5873" width="10.5546875" style="77" bestFit="1" customWidth="1"/>
    <col min="5874" max="5874" width="0" style="77" hidden="1" customWidth="1"/>
    <col min="5875" max="5880" width="10.5546875" style="77" bestFit="1" customWidth="1"/>
    <col min="5881" max="5881" width="12.44140625" style="77" customWidth="1"/>
    <col min="5882" max="5882" width="12.33203125" style="77" customWidth="1"/>
    <col min="5883" max="5883" width="10.5546875" style="77" bestFit="1" customWidth="1"/>
    <col min="5884" max="5884" width="0" style="77" hidden="1" customWidth="1"/>
    <col min="5885" max="5890" width="10.5546875" style="77" bestFit="1" customWidth="1"/>
    <col min="5891" max="5891" width="0" style="77" hidden="1" customWidth="1"/>
    <col min="5892" max="5896" width="10.5546875" style="77" bestFit="1" customWidth="1"/>
    <col min="5897" max="6124" width="9.33203125" style="77"/>
    <col min="6125" max="6125" width="2.6640625" style="77" customWidth="1"/>
    <col min="6126" max="6126" width="5.6640625" style="77" bestFit="1" customWidth="1"/>
    <col min="6127" max="6127" width="32.6640625" style="77" bestFit="1" customWidth="1"/>
    <col min="6128" max="6128" width="0" style="77" hidden="1" customWidth="1"/>
    <col min="6129" max="6129" width="10.5546875" style="77" bestFit="1" customWidth="1"/>
    <col min="6130" max="6130" width="0" style="77" hidden="1" customWidth="1"/>
    <col min="6131" max="6136" width="10.5546875" style="77" bestFit="1" customWidth="1"/>
    <col min="6137" max="6137" width="12.44140625" style="77" customWidth="1"/>
    <col min="6138" max="6138" width="12.33203125" style="77" customWidth="1"/>
    <col min="6139" max="6139" width="10.5546875" style="77" bestFit="1" customWidth="1"/>
    <col min="6140" max="6140" width="0" style="77" hidden="1" customWidth="1"/>
    <col min="6141" max="6146" width="10.5546875" style="77" bestFit="1" customWidth="1"/>
    <col min="6147" max="6147" width="0" style="77" hidden="1" customWidth="1"/>
    <col min="6148" max="6152" width="10.5546875" style="77" bestFit="1" customWidth="1"/>
    <col min="6153" max="6380" width="9.33203125" style="77"/>
    <col min="6381" max="6381" width="2.6640625" style="77" customWidth="1"/>
    <col min="6382" max="6382" width="5.6640625" style="77" bestFit="1" customWidth="1"/>
    <col min="6383" max="6383" width="32.6640625" style="77" bestFit="1" customWidth="1"/>
    <col min="6384" max="6384" width="0" style="77" hidden="1" customWidth="1"/>
    <col min="6385" max="6385" width="10.5546875" style="77" bestFit="1" customWidth="1"/>
    <col min="6386" max="6386" width="0" style="77" hidden="1" customWidth="1"/>
    <col min="6387" max="6392" width="10.5546875" style="77" bestFit="1" customWidth="1"/>
    <col min="6393" max="6393" width="12.44140625" style="77" customWidth="1"/>
    <col min="6394" max="6394" width="12.33203125" style="77" customWidth="1"/>
    <col min="6395" max="6395" width="10.5546875" style="77" bestFit="1" customWidth="1"/>
    <col min="6396" max="6396" width="0" style="77" hidden="1" customWidth="1"/>
    <col min="6397" max="6402" width="10.5546875" style="77" bestFit="1" customWidth="1"/>
    <col min="6403" max="6403" width="0" style="77" hidden="1" customWidth="1"/>
    <col min="6404" max="6408" width="10.5546875" style="77" bestFit="1" customWidth="1"/>
    <col min="6409" max="6636" width="9.33203125" style="77"/>
    <col min="6637" max="6637" width="2.6640625" style="77" customWidth="1"/>
    <col min="6638" max="6638" width="5.6640625" style="77" bestFit="1" customWidth="1"/>
    <col min="6639" max="6639" width="32.6640625" style="77" bestFit="1" customWidth="1"/>
    <col min="6640" max="6640" width="0" style="77" hidden="1" customWidth="1"/>
    <col min="6641" max="6641" width="10.5546875" style="77" bestFit="1" customWidth="1"/>
    <col min="6642" max="6642" width="0" style="77" hidden="1" customWidth="1"/>
    <col min="6643" max="6648" width="10.5546875" style="77" bestFit="1" customWidth="1"/>
    <col min="6649" max="6649" width="12.44140625" style="77" customWidth="1"/>
    <col min="6650" max="6650" width="12.33203125" style="77" customWidth="1"/>
    <col min="6651" max="6651" width="10.5546875" style="77" bestFit="1" customWidth="1"/>
    <col min="6652" max="6652" width="0" style="77" hidden="1" customWidth="1"/>
    <col min="6653" max="6658" width="10.5546875" style="77" bestFit="1" customWidth="1"/>
    <col min="6659" max="6659" width="0" style="77" hidden="1" customWidth="1"/>
    <col min="6660" max="6664" width="10.5546875" style="77" bestFit="1" customWidth="1"/>
    <col min="6665" max="6892" width="9.33203125" style="77"/>
    <col min="6893" max="6893" width="2.6640625" style="77" customWidth="1"/>
    <col min="6894" max="6894" width="5.6640625" style="77" bestFit="1" customWidth="1"/>
    <col min="6895" max="6895" width="32.6640625" style="77" bestFit="1" customWidth="1"/>
    <col min="6896" max="6896" width="0" style="77" hidden="1" customWidth="1"/>
    <col min="6897" max="6897" width="10.5546875" style="77" bestFit="1" customWidth="1"/>
    <col min="6898" max="6898" width="0" style="77" hidden="1" customWidth="1"/>
    <col min="6899" max="6904" width="10.5546875" style="77" bestFit="1" customWidth="1"/>
    <col min="6905" max="6905" width="12.44140625" style="77" customWidth="1"/>
    <col min="6906" max="6906" width="12.33203125" style="77" customWidth="1"/>
    <col min="6907" max="6907" width="10.5546875" style="77" bestFit="1" customWidth="1"/>
    <col min="6908" max="6908" width="0" style="77" hidden="1" customWidth="1"/>
    <col min="6909" max="6914" width="10.5546875" style="77" bestFit="1" customWidth="1"/>
    <col min="6915" max="6915" width="0" style="77" hidden="1" customWidth="1"/>
    <col min="6916" max="6920" width="10.5546875" style="77" bestFit="1" customWidth="1"/>
    <col min="6921" max="7148" width="9.33203125" style="77"/>
    <col min="7149" max="7149" width="2.6640625" style="77" customWidth="1"/>
    <col min="7150" max="7150" width="5.6640625" style="77" bestFit="1" customWidth="1"/>
    <col min="7151" max="7151" width="32.6640625" style="77" bestFit="1" customWidth="1"/>
    <col min="7152" max="7152" width="0" style="77" hidden="1" customWidth="1"/>
    <col min="7153" max="7153" width="10.5546875" style="77" bestFit="1" customWidth="1"/>
    <col min="7154" max="7154" width="0" style="77" hidden="1" customWidth="1"/>
    <col min="7155" max="7160" width="10.5546875" style="77" bestFit="1" customWidth="1"/>
    <col min="7161" max="7161" width="12.44140625" style="77" customWidth="1"/>
    <col min="7162" max="7162" width="12.33203125" style="77" customWidth="1"/>
    <col min="7163" max="7163" width="10.5546875" style="77" bestFit="1" customWidth="1"/>
    <col min="7164" max="7164" width="0" style="77" hidden="1" customWidth="1"/>
    <col min="7165" max="7170" width="10.5546875" style="77" bestFit="1" customWidth="1"/>
    <col min="7171" max="7171" width="0" style="77" hidden="1" customWidth="1"/>
    <col min="7172" max="7176" width="10.5546875" style="77" bestFit="1" customWidth="1"/>
    <col min="7177" max="7404" width="9.33203125" style="77"/>
    <col min="7405" max="7405" width="2.6640625" style="77" customWidth="1"/>
    <col min="7406" max="7406" width="5.6640625" style="77" bestFit="1" customWidth="1"/>
    <col min="7407" max="7407" width="32.6640625" style="77" bestFit="1" customWidth="1"/>
    <col min="7408" max="7408" width="0" style="77" hidden="1" customWidth="1"/>
    <col min="7409" max="7409" width="10.5546875" style="77" bestFit="1" customWidth="1"/>
    <col min="7410" max="7410" width="0" style="77" hidden="1" customWidth="1"/>
    <col min="7411" max="7416" width="10.5546875" style="77" bestFit="1" customWidth="1"/>
    <col min="7417" max="7417" width="12.44140625" style="77" customWidth="1"/>
    <col min="7418" max="7418" width="12.33203125" style="77" customWidth="1"/>
    <col min="7419" max="7419" width="10.5546875" style="77" bestFit="1" customWidth="1"/>
    <col min="7420" max="7420" width="0" style="77" hidden="1" customWidth="1"/>
    <col min="7421" max="7426" width="10.5546875" style="77" bestFit="1" customWidth="1"/>
    <col min="7427" max="7427" width="0" style="77" hidden="1" customWidth="1"/>
    <col min="7428" max="7432" width="10.5546875" style="77" bestFit="1" customWidth="1"/>
    <col min="7433" max="7660" width="9.33203125" style="77"/>
    <col min="7661" max="7661" width="2.6640625" style="77" customWidth="1"/>
    <col min="7662" max="7662" width="5.6640625" style="77" bestFit="1" customWidth="1"/>
    <col min="7663" max="7663" width="32.6640625" style="77" bestFit="1" customWidth="1"/>
    <col min="7664" max="7664" width="0" style="77" hidden="1" customWidth="1"/>
    <col min="7665" max="7665" width="10.5546875" style="77" bestFit="1" customWidth="1"/>
    <col min="7666" max="7666" width="0" style="77" hidden="1" customWidth="1"/>
    <col min="7667" max="7672" width="10.5546875" style="77" bestFit="1" customWidth="1"/>
    <col min="7673" max="7673" width="12.44140625" style="77" customWidth="1"/>
    <col min="7674" max="7674" width="12.33203125" style="77" customWidth="1"/>
    <col min="7675" max="7675" width="10.5546875" style="77" bestFit="1" customWidth="1"/>
    <col min="7676" max="7676" width="0" style="77" hidden="1" customWidth="1"/>
    <col min="7677" max="7682" width="10.5546875" style="77" bestFit="1" customWidth="1"/>
    <col min="7683" max="7683" width="0" style="77" hidden="1" customWidth="1"/>
    <col min="7684" max="7688" width="10.5546875" style="77" bestFit="1" customWidth="1"/>
    <col min="7689" max="7916" width="9.33203125" style="77"/>
    <col min="7917" max="7917" width="2.6640625" style="77" customWidth="1"/>
    <col min="7918" max="7918" width="5.6640625" style="77" bestFit="1" customWidth="1"/>
    <col min="7919" max="7919" width="32.6640625" style="77" bestFit="1" customWidth="1"/>
    <col min="7920" max="7920" width="0" style="77" hidden="1" customWidth="1"/>
    <col min="7921" max="7921" width="10.5546875" style="77" bestFit="1" customWidth="1"/>
    <col min="7922" max="7922" width="0" style="77" hidden="1" customWidth="1"/>
    <col min="7923" max="7928" width="10.5546875" style="77" bestFit="1" customWidth="1"/>
    <col min="7929" max="7929" width="12.44140625" style="77" customWidth="1"/>
    <col min="7930" max="7930" width="12.33203125" style="77" customWidth="1"/>
    <col min="7931" max="7931" width="10.5546875" style="77" bestFit="1" customWidth="1"/>
    <col min="7932" max="7932" width="0" style="77" hidden="1" customWidth="1"/>
    <col min="7933" max="7938" width="10.5546875" style="77" bestFit="1" customWidth="1"/>
    <col min="7939" max="7939" width="0" style="77" hidden="1" customWidth="1"/>
    <col min="7940" max="7944" width="10.5546875" style="77" bestFit="1" customWidth="1"/>
    <col min="7945" max="8172" width="9.33203125" style="77"/>
    <col min="8173" max="8173" width="2.6640625" style="77" customWidth="1"/>
    <col min="8174" max="8174" width="5.6640625" style="77" bestFit="1" customWidth="1"/>
    <col min="8175" max="8175" width="32.6640625" style="77" bestFit="1" customWidth="1"/>
    <col min="8176" max="8176" width="0" style="77" hidden="1" customWidth="1"/>
    <col min="8177" max="8177" width="10.5546875" style="77" bestFit="1" customWidth="1"/>
    <col min="8178" max="8178" width="0" style="77" hidden="1" customWidth="1"/>
    <col min="8179" max="8184" width="10.5546875" style="77" bestFit="1" customWidth="1"/>
    <col min="8185" max="8185" width="12.44140625" style="77" customWidth="1"/>
    <col min="8186" max="8186" width="12.33203125" style="77" customWidth="1"/>
    <col min="8187" max="8187" width="10.5546875" style="77" bestFit="1" customWidth="1"/>
    <col min="8188" max="8188" width="0" style="77" hidden="1" customWidth="1"/>
    <col min="8189" max="8194" width="10.5546875" style="77" bestFit="1" customWidth="1"/>
    <col min="8195" max="8195" width="0" style="77" hidden="1" customWidth="1"/>
    <col min="8196" max="8200" width="10.5546875" style="77" bestFit="1" customWidth="1"/>
    <col min="8201" max="8428" width="9.33203125" style="77"/>
    <col min="8429" max="8429" width="2.6640625" style="77" customWidth="1"/>
    <col min="8430" max="8430" width="5.6640625" style="77" bestFit="1" customWidth="1"/>
    <col min="8431" max="8431" width="32.6640625" style="77" bestFit="1" customWidth="1"/>
    <col min="8432" max="8432" width="0" style="77" hidden="1" customWidth="1"/>
    <col min="8433" max="8433" width="10.5546875" style="77" bestFit="1" customWidth="1"/>
    <col min="8434" max="8434" width="0" style="77" hidden="1" customWidth="1"/>
    <col min="8435" max="8440" width="10.5546875" style="77" bestFit="1" customWidth="1"/>
    <col min="8441" max="8441" width="12.44140625" style="77" customWidth="1"/>
    <col min="8442" max="8442" width="12.33203125" style="77" customWidth="1"/>
    <col min="8443" max="8443" width="10.5546875" style="77" bestFit="1" customWidth="1"/>
    <col min="8444" max="8444" width="0" style="77" hidden="1" customWidth="1"/>
    <col min="8445" max="8450" width="10.5546875" style="77" bestFit="1" customWidth="1"/>
    <col min="8451" max="8451" width="0" style="77" hidden="1" customWidth="1"/>
    <col min="8452" max="8456" width="10.5546875" style="77" bestFit="1" customWidth="1"/>
    <col min="8457" max="8684" width="9.33203125" style="77"/>
    <col min="8685" max="8685" width="2.6640625" style="77" customWidth="1"/>
    <col min="8686" max="8686" width="5.6640625" style="77" bestFit="1" customWidth="1"/>
    <col min="8687" max="8687" width="32.6640625" style="77" bestFit="1" customWidth="1"/>
    <col min="8688" max="8688" width="0" style="77" hidden="1" customWidth="1"/>
    <col min="8689" max="8689" width="10.5546875" style="77" bestFit="1" customWidth="1"/>
    <col min="8690" max="8690" width="0" style="77" hidden="1" customWidth="1"/>
    <col min="8691" max="8696" width="10.5546875" style="77" bestFit="1" customWidth="1"/>
    <col min="8697" max="8697" width="12.44140625" style="77" customWidth="1"/>
    <col min="8698" max="8698" width="12.33203125" style="77" customWidth="1"/>
    <col min="8699" max="8699" width="10.5546875" style="77" bestFit="1" customWidth="1"/>
    <col min="8700" max="8700" width="0" style="77" hidden="1" customWidth="1"/>
    <col min="8701" max="8706" width="10.5546875" style="77" bestFit="1" customWidth="1"/>
    <col min="8707" max="8707" width="0" style="77" hidden="1" customWidth="1"/>
    <col min="8708" max="8712" width="10.5546875" style="77" bestFit="1" customWidth="1"/>
    <col min="8713" max="8940" width="9.33203125" style="77"/>
    <col min="8941" max="8941" width="2.6640625" style="77" customWidth="1"/>
    <col min="8942" max="8942" width="5.6640625" style="77" bestFit="1" customWidth="1"/>
    <col min="8943" max="8943" width="32.6640625" style="77" bestFit="1" customWidth="1"/>
    <col min="8944" max="8944" width="0" style="77" hidden="1" customWidth="1"/>
    <col min="8945" max="8945" width="10.5546875" style="77" bestFit="1" customWidth="1"/>
    <col min="8946" max="8946" width="0" style="77" hidden="1" customWidth="1"/>
    <col min="8947" max="8952" width="10.5546875" style="77" bestFit="1" customWidth="1"/>
    <col min="8953" max="8953" width="12.44140625" style="77" customWidth="1"/>
    <col min="8954" max="8954" width="12.33203125" style="77" customWidth="1"/>
    <col min="8955" max="8955" width="10.5546875" style="77" bestFit="1" customWidth="1"/>
    <col min="8956" max="8956" width="0" style="77" hidden="1" customWidth="1"/>
    <col min="8957" max="8962" width="10.5546875" style="77" bestFit="1" customWidth="1"/>
    <col min="8963" max="8963" width="0" style="77" hidden="1" customWidth="1"/>
    <col min="8964" max="8968" width="10.5546875" style="77" bestFit="1" customWidth="1"/>
    <col min="8969" max="9196" width="9.33203125" style="77"/>
    <col min="9197" max="9197" width="2.6640625" style="77" customWidth="1"/>
    <col min="9198" max="9198" width="5.6640625" style="77" bestFit="1" customWidth="1"/>
    <col min="9199" max="9199" width="32.6640625" style="77" bestFit="1" customWidth="1"/>
    <col min="9200" max="9200" width="0" style="77" hidden="1" customWidth="1"/>
    <col min="9201" max="9201" width="10.5546875" style="77" bestFit="1" customWidth="1"/>
    <col min="9202" max="9202" width="0" style="77" hidden="1" customWidth="1"/>
    <col min="9203" max="9208" width="10.5546875" style="77" bestFit="1" customWidth="1"/>
    <col min="9209" max="9209" width="12.44140625" style="77" customWidth="1"/>
    <col min="9210" max="9210" width="12.33203125" style="77" customWidth="1"/>
    <col min="9211" max="9211" width="10.5546875" style="77" bestFit="1" customWidth="1"/>
    <col min="9212" max="9212" width="0" style="77" hidden="1" customWidth="1"/>
    <col min="9213" max="9218" width="10.5546875" style="77" bestFit="1" customWidth="1"/>
    <col min="9219" max="9219" width="0" style="77" hidden="1" customWidth="1"/>
    <col min="9220" max="9224" width="10.5546875" style="77" bestFit="1" customWidth="1"/>
    <col min="9225" max="9452" width="9.33203125" style="77"/>
    <col min="9453" max="9453" width="2.6640625" style="77" customWidth="1"/>
    <col min="9454" max="9454" width="5.6640625" style="77" bestFit="1" customWidth="1"/>
    <col min="9455" max="9455" width="32.6640625" style="77" bestFit="1" customWidth="1"/>
    <col min="9456" max="9456" width="0" style="77" hidden="1" customWidth="1"/>
    <col min="9457" max="9457" width="10.5546875" style="77" bestFit="1" customWidth="1"/>
    <col min="9458" max="9458" width="0" style="77" hidden="1" customWidth="1"/>
    <col min="9459" max="9464" width="10.5546875" style="77" bestFit="1" customWidth="1"/>
    <col min="9465" max="9465" width="12.44140625" style="77" customWidth="1"/>
    <col min="9466" max="9466" width="12.33203125" style="77" customWidth="1"/>
    <col min="9467" max="9467" width="10.5546875" style="77" bestFit="1" customWidth="1"/>
    <col min="9468" max="9468" width="0" style="77" hidden="1" customWidth="1"/>
    <col min="9469" max="9474" width="10.5546875" style="77" bestFit="1" customWidth="1"/>
    <col min="9475" max="9475" width="0" style="77" hidden="1" customWidth="1"/>
    <col min="9476" max="9480" width="10.5546875" style="77" bestFit="1" customWidth="1"/>
    <col min="9481" max="9708" width="9.33203125" style="77"/>
    <col min="9709" max="9709" width="2.6640625" style="77" customWidth="1"/>
    <col min="9710" max="9710" width="5.6640625" style="77" bestFit="1" customWidth="1"/>
    <col min="9711" max="9711" width="32.6640625" style="77" bestFit="1" customWidth="1"/>
    <col min="9712" max="9712" width="0" style="77" hidden="1" customWidth="1"/>
    <col min="9713" max="9713" width="10.5546875" style="77" bestFit="1" customWidth="1"/>
    <col min="9714" max="9714" width="0" style="77" hidden="1" customWidth="1"/>
    <col min="9715" max="9720" width="10.5546875" style="77" bestFit="1" customWidth="1"/>
    <col min="9721" max="9721" width="12.44140625" style="77" customWidth="1"/>
    <col min="9722" max="9722" width="12.33203125" style="77" customWidth="1"/>
    <col min="9723" max="9723" width="10.5546875" style="77" bestFit="1" customWidth="1"/>
    <col min="9724" max="9724" width="0" style="77" hidden="1" customWidth="1"/>
    <col min="9725" max="9730" width="10.5546875" style="77" bestFit="1" customWidth="1"/>
    <col min="9731" max="9731" width="0" style="77" hidden="1" customWidth="1"/>
    <col min="9732" max="9736" width="10.5546875" style="77" bestFit="1" customWidth="1"/>
    <col min="9737" max="9964" width="9.33203125" style="77"/>
    <col min="9965" max="9965" width="2.6640625" style="77" customWidth="1"/>
    <col min="9966" max="9966" width="5.6640625" style="77" bestFit="1" customWidth="1"/>
    <col min="9967" max="9967" width="32.6640625" style="77" bestFit="1" customWidth="1"/>
    <col min="9968" max="9968" width="0" style="77" hidden="1" customWidth="1"/>
    <col min="9969" max="9969" width="10.5546875" style="77" bestFit="1" customWidth="1"/>
    <col min="9970" max="9970" width="0" style="77" hidden="1" customWidth="1"/>
    <col min="9971" max="9976" width="10.5546875" style="77" bestFit="1" customWidth="1"/>
    <col min="9977" max="9977" width="12.44140625" style="77" customWidth="1"/>
    <col min="9978" max="9978" width="12.33203125" style="77" customWidth="1"/>
    <col min="9979" max="9979" width="10.5546875" style="77" bestFit="1" customWidth="1"/>
    <col min="9980" max="9980" width="0" style="77" hidden="1" customWidth="1"/>
    <col min="9981" max="9986" width="10.5546875" style="77" bestFit="1" customWidth="1"/>
    <col min="9987" max="9987" width="0" style="77" hidden="1" customWidth="1"/>
    <col min="9988" max="9992" width="10.5546875" style="77" bestFit="1" customWidth="1"/>
    <col min="9993" max="10220" width="9.33203125" style="77"/>
    <col min="10221" max="10221" width="2.6640625" style="77" customWidth="1"/>
    <col min="10222" max="10222" width="5.6640625" style="77" bestFit="1" customWidth="1"/>
    <col min="10223" max="10223" width="32.6640625" style="77" bestFit="1" customWidth="1"/>
    <col min="10224" max="10224" width="0" style="77" hidden="1" customWidth="1"/>
    <col min="10225" max="10225" width="10.5546875" style="77" bestFit="1" customWidth="1"/>
    <col min="10226" max="10226" width="0" style="77" hidden="1" customWidth="1"/>
    <col min="10227" max="10232" width="10.5546875" style="77" bestFit="1" customWidth="1"/>
    <col min="10233" max="10233" width="12.44140625" style="77" customWidth="1"/>
    <col min="10234" max="10234" width="12.33203125" style="77" customWidth="1"/>
    <col min="10235" max="10235" width="10.5546875" style="77" bestFit="1" customWidth="1"/>
    <col min="10236" max="10236" width="0" style="77" hidden="1" customWidth="1"/>
    <col min="10237" max="10242" width="10.5546875" style="77" bestFit="1" customWidth="1"/>
    <col min="10243" max="10243" width="0" style="77" hidden="1" customWidth="1"/>
    <col min="10244" max="10248" width="10.5546875" style="77" bestFit="1" customWidth="1"/>
    <col min="10249" max="10476" width="9.33203125" style="77"/>
    <col min="10477" max="10477" width="2.6640625" style="77" customWidth="1"/>
    <col min="10478" max="10478" width="5.6640625" style="77" bestFit="1" customWidth="1"/>
    <col min="10479" max="10479" width="32.6640625" style="77" bestFit="1" customWidth="1"/>
    <col min="10480" max="10480" width="0" style="77" hidden="1" customWidth="1"/>
    <col min="10481" max="10481" width="10.5546875" style="77" bestFit="1" customWidth="1"/>
    <col min="10482" max="10482" width="0" style="77" hidden="1" customWidth="1"/>
    <col min="10483" max="10488" width="10.5546875" style="77" bestFit="1" customWidth="1"/>
    <col min="10489" max="10489" width="12.44140625" style="77" customWidth="1"/>
    <col min="10490" max="10490" width="12.33203125" style="77" customWidth="1"/>
    <col min="10491" max="10491" width="10.5546875" style="77" bestFit="1" customWidth="1"/>
    <col min="10492" max="10492" width="0" style="77" hidden="1" customWidth="1"/>
    <col min="10493" max="10498" width="10.5546875" style="77" bestFit="1" customWidth="1"/>
    <col min="10499" max="10499" width="0" style="77" hidden="1" customWidth="1"/>
    <col min="10500" max="10504" width="10.5546875" style="77" bestFit="1" customWidth="1"/>
    <col min="10505" max="10732" width="9.33203125" style="77"/>
    <col min="10733" max="10733" width="2.6640625" style="77" customWidth="1"/>
    <col min="10734" max="10734" width="5.6640625" style="77" bestFit="1" customWidth="1"/>
    <col min="10735" max="10735" width="32.6640625" style="77" bestFit="1" customWidth="1"/>
    <col min="10736" max="10736" width="0" style="77" hidden="1" customWidth="1"/>
    <col min="10737" max="10737" width="10.5546875" style="77" bestFit="1" customWidth="1"/>
    <col min="10738" max="10738" width="0" style="77" hidden="1" customWidth="1"/>
    <col min="10739" max="10744" width="10.5546875" style="77" bestFit="1" customWidth="1"/>
    <col min="10745" max="10745" width="12.44140625" style="77" customWidth="1"/>
    <col min="10746" max="10746" width="12.33203125" style="77" customWidth="1"/>
    <col min="10747" max="10747" width="10.5546875" style="77" bestFit="1" customWidth="1"/>
    <col min="10748" max="10748" width="0" style="77" hidden="1" customWidth="1"/>
    <col min="10749" max="10754" width="10.5546875" style="77" bestFit="1" customWidth="1"/>
    <col min="10755" max="10755" width="0" style="77" hidden="1" customWidth="1"/>
    <col min="10756" max="10760" width="10.5546875" style="77" bestFit="1" customWidth="1"/>
    <col min="10761" max="10988" width="9.33203125" style="77"/>
    <col min="10989" max="10989" width="2.6640625" style="77" customWidth="1"/>
    <col min="10990" max="10990" width="5.6640625" style="77" bestFit="1" customWidth="1"/>
    <col min="10991" max="10991" width="32.6640625" style="77" bestFit="1" customWidth="1"/>
    <col min="10992" max="10992" width="0" style="77" hidden="1" customWidth="1"/>
    <col min="10993" max="10993" width="10.5546875" style="77" bestFit="1" customWidth="1"/>
    <col min="10994" max="10994" width="0" style="77" hidden="1" customWidth="1"/>
    <col min="10995" max="11000" width="10.5546875" style="77" bestFit="1" customWidth="1"/>
    <col min="11001" max="11001" width="12.44140625" style="77" customWidth="1"/>
    <col min="11002" max="11002" width="12.33203125" style="77" customWidth="1"/>
    <col min="11003" max="11003" width="10.5546875" style="77" bestFit="1" customWidth="1"/>
    <col min="11004" max="11004" width="0" style="77" hidden="1" customWidth="1"/>
    <col min="11005" max="11010" width="10.5546875" style="77" bestFit="1" customWidth="1"/>
    <col min="11011" max="11011" width="0" style="77" hidden="1" customWidth="1"/>
    <col min="11012" max="11016" width="10.5546875" style="77" bestFit="1" customWidth="1"/>
    <col min="11017" max="11244" width="9.33203125" style="77"/>
    <col min="11245" max="11245" width="2.6640625" style="77" customWidth="1"/>
    <col min="11246" max="11246" width="5.6640625" style="77" bestFit="1" customWidth="1"/>
    <col min="11247" max="11247" width="32.6640625" style="77" bestFit="1" customWidth="1"/>
    <col min="11248" max="11248" width="0" style="77" hidden="1" customWidth="1"/>
    <col min="11249" max="11249" width="10.5546875" style="77" bestFit="1" customWidth="1"/>
    <col min="11250" max="11250" width="0" style="77" hidden="1" customWidth="1"/>
    <col min="11251" max="11256" width="10.5546875" style="77" bestFit="1" customWidth="1"/>
    <col min="11257" max="11257" width="12.44140625" style="77" customWidth="1"/>
    <col min="11258" max="11258" width="12.33203125" style="77" customWidth="1"/>
    <col min="11259" max="11259" width="10.5546875" style="77" bestFit="1" customWidth="1"/>
    <col min="11260" max="11260" width="0" style="77" hidden="1" customWidth="1"/>
    <col min="11261" max="11266" width="10.5546875" style="77" bestFit="1" customWidth="1"/>
    <col min="11267" max="11267" width="0" style="77" hidden="1" customWidth="1"/>
    <col min="11268" max="11272" width="10.5546875" style="77" bestFit="1" customWidth="1"/>
    <col min="11273" max="11500" width="9.33203125" style="77"/>
    <col min="11501" max="11501" width="2.6640625" style="77" customWidth="1"/>
    <col min="11502" max="11502" width="5.6640625" style="77" bestFit="1" customWidth="1"/>
    <col min="11503" max="11503" width="32.6640625" style="77" bestFit="1" customWidth="1"/>
    <col min="11504" max="11504" width="0" style="77" hidden="1" customWidth="1"/>
    <col min="11505" max="11505" width="10.5546875" style="77" bestFit="1" customWidth="1"/>
    <col min="11506" max="11506" width="0" style="77" hidden="1" customWidth="1"/>
    <col min="11507" max="11512" width="10.5546875" style="77" bestFit="1" customWidth="1"/>
    <col min="11513" max="11513" width="12.44140625" style="77" customWidth="1"/>
    <col min="11514" max="11514" width="12.33203125" style="77" customWidth="1"/>
    <col min="11515" max="11515" width="10.5546875" style="77" bestFit="1" customWidth="1"/>
    <col min="11516" max="11516" width="0" style="77" hidden="1" customWidth="1"/>
    <col min="11517" max="11522" width="10.5546875" style="77" bestFit="1" customWidth="1"/>
    <col min="11523" max="11523" width="0" style="77" hidden="1" customWidth="1"/>
    <col min="11524" max="11528" width="10.5546875" style="77" bestFit="1" customWidth="1"/>
    <col min="11529" max="11756" width="9.33203125" style="77"/>
    <col min="11757" max="11757" width="2.6640625" style="77" customWidth="1"/>
    <col min="11758" max="11758" width="5.6640625" style="77" bestFit="1" customWidth="1"/>
    <col min="11759" max="11759" width="32.6640625" style="77" bestFit="1" customWidth="1"/>
    <col min="11760" max="11760" width="0" style="77" hidden="1" customWidth="1"/>
    <col min="11761" max="11761" width="10.5546875" style="77" bestFit="1" customWidth="1"/>
    <col min="11762" max="11762" width="0" style="77" hidden="1" customWidth="1"/>
    <col min="11763" max="11768" width="10.5546875" style="77" bestFit="1" customWidth="1"/>
    <col min="11769" max="11769" width="12.44140625" style="77" customWidth="1"/>
    <col min="11770" max="11770" width="12.33203125" style="77" customWidth="1"/>
    <col min="11771" max="11771" width="10.5546875" style="77" bestFit="1" customWidth="1"/>
    <col min="11772" max="11772" width="0" style="77" hidden="1" customWidth="1"/>
    <col min="11773" max="11778" width="10.5546875" style="77" bestFit="1" customWidth="1"/>
    <col min="11779" max="11779" width="0" style="77" hidden="1" customWidth="1"/>
    <col min="11780" max="11784" width="10.5546875" style="77" bestFit="1" customWidth="1"/>
    <col min="11785" max="12012" width="9.33203125" style="77"/>
    <col min="12013" max="12013" width="2.6640625" style="77" customWidth="1"/>
    <col min="12014" max="12014" width="5.6640625" style="77" bestFit="1" customWidth="1"/>
    <col min="12015" max="12015" width="32.6640625" style="77" bestFit="1" customWidth="1"/>
    <col min="12016" max="12016" width="0" style="77" hidden="1" customWidth="1"/>
    <col min="12017" max="12017" width="10.5546875" style="77" bestFit="1" customWidth="1"/>
    <col min="12018" max="12018" width="0" style="77" hidden="1" customWidth="1"/>
    <col min="12019" max="12024" width="10.5546875" style="77" bestFit="1" customWidth="1"/>
    <col min="12025" max="12025" width="12.44140625" style="77" customWidth="1"/>
    <col min="12026" max="12026" width="12.33203125" style="77" customWidth="1"/>
    <col min="12027" max="12027" width="10.5546875" style="77" bestFit="1" customWidth="1"/>
    <col min="12028" max="12028" width="0" style="77" hidden="1" customWidth="1"/>
    <col min="12029" max="12034" width="10.5546875" style="77" bestFit="1" customWidth="1"/>
    <col min="12035" max="12035" width="0" style="77" hidden="1" customWidth="1"/>
    <col min="12036" max="12040" width="10.5546875" style="77" bestFit="1" customWidth="1"/>
    <col min="12041" max="12268" width="9.33203125" style="77"/>
    <col min="12269" max="12269" width="2.6640625" style="77" customWidth="1"/>
    <col min="12270" max="12270" width="5.6640625" style="77" bestFit="1" customWidth="1"/>
    <col min="12271" max="12271" width="32.6640625" style="77" bestFit="1" customWidth="1"/>
    <col min="12272" max="12272" width="0" style="77" hidden="1" customWidth="1"/>
    <col min="12273" max="12273" width="10.5546875" style="77" bestFit="1" customWidth="1"/>
    <col min="12274" max="12274" width="0" style="77" hidden="1" customWidth="1"/>
    <col min="12275" max="12280" width="10.5546875" style="77" bestFit="1" customWidth="1"/>
    <col min="12281" max="12281" width="12.44140625" style="77" customWidth="1"/>
    <col min="12282" max="12282" width="12.33203125" style="77" customWidth="1"/>
    <col min="12283" max="12283" width="10.5546875" style="77" bestFit="1" customWidth="1"/>
    <col min="12284" max="12284" width="0" style="77" hidden="1" customWidth="1"/>
    <col min="12285" max="12290" width="10.5546875" style="77" bestFit="1" customWidth="1"/>
    <col min="12291" max="12291" width="0" style="77" hidden="1" customWidth="1"/>
    <col min="12292" max="12296" width="10.5546875" style="77" bestFit="1" customWidth="1"/>
    <col min="12297" max="12524" width="9.33203125" style="77"/>
    <col min="12525" max="12525" width="2.6640625" style="77" customWidth="1"/>
    <col min="12526" max="12526" width="5.6640625" style="77" bestFit="1" customWidth="1"/>
    <col min="12527" max="12527" width="32.6640625" style="77" bestFit="1" customWidth="1"/>
    <col min="12528" max="12528" width="0" style="77" hidden="1" customWidth="1"/>
    <col min="12529" max="12529" width="10.5546875" style="77" bestFit="1" customWidth="1"/>
    <col min="12530" max="12530" width="0" style="77" hidden="1" customWidth="1"/>
    <col min="12531" max="12536" width="10.5546875" style="77" bestFit="1" customWidth="1"/>
    <col min="12537" max="12537" width="12.44140625" style="77" customWidth="1"/>
    <col min="12538" max="12538" width="12.33203125" style="77" customWidth="1"/>
    <col min="12539" max="12539" width="10.5546875" style="77" bestFit="1" customWidth="1"/>
    <col min="12540" max="12540" width="0" style="77" hidden="1" customWidth="1"/>
    <col min="12541" max="12546" width="10.5546875" style="77" bestFit="1" customWidth="1"/>
    <col min="12547" max="12547" width="0" style="77" hidden="1" customWidth="1"/>
    <col min="12548" max="12552" width="10.5546875" style="77" bestFit="1" customWidth="1"/>
    <col min="12553" max="12780" width="9.33203125" style="77"/>
    <col min="12781" max="12781" width="2.6640625" style="77" customWidth="1"/>
    <col min="12782" max="12782" width="5.6640625" style="77" bestFit="1" customWidth="1"/>
    <col min="12783" max="12783" width="32.6640625" style="77" bestFit="1" customWidth="1"/>
    <col min="12784" max="12784" width="0" style="77" hidden="1" customWidth="1"/>
    <col min="12785" max="12785" width="10.5546875" style="77" bestFit="1" customWidth="1"/>
    <col min="12786" max="12786" width="0" style="77" hidden="1" customWidth="1"/>
    <col min="12787" max="12792" width="10.5546875" style="77" bestFit="1" customWidth="1"/>
    <col min="12793" max="12793" width="12.44140625" style="77" customWidth="1"/>
    <col min="12794" max="12794" width="12.33203125" style="77" customWidth="1"/>
    <col min="12795" max="12795" width="10.5546875" style="77" bestFit="1" customWidth="1"/>
    <col min="12796" max="12796" width="0" style="77" hidden="1" customWidth="1"/>
    <col min="12797" max="12802" width="10.5546875" style="77" bestFit="1" customWidth="1"/>
    <col min="12803" max="12803" width="0" style="77" hidden="1" customWidth="1"/>
    <col min="12804" max="12808" width="10.5546875" style="77" bestFit="1" customWidth="1"/>
    <col min="12809" max="13036" width="9.33203125" style="77"/>
    <col min="13037" max="13037" width="2.6640625" style="77" customWidth="1"/>
    <col min="13038" max="13038" width="5.6640625" style="77" bestFit="1" customWidth="1"/>
    <col min="13039" max="13039" width="32.6640625" style="77" bestFit="1" customWidth="1"/>
    <col min="13040" max="13040" width="0" style="77" hidden="1" customWidth="1"/>
    <col min="13041" max="13041" width="10.5546875" style="77" bestFit="1" customWidth="1"/>
    <col min="13042" max="13042" width="0" style="77" hidden="1" customWidth="1"/>
    <col min="13043" max="13048" width="10.5546875" style="77" bestFit="1" customWidth="1"/>
    <col min="13049" max="13049" width="12.44140625" style="77" customWidth="1"/>
    <col min="13050" max="13050" width="12.33203125" style="77" customWidth="1"/>
    <col min="13051" max="13051" width="10.5546875" style="77" bestFit="1" customWidth="1"/>
    <col min="13052" max="13052" width="0" style="77" hidden="1" customWidth="1"/>
    <col min="13053" max="13058" width="10.5546875" style="77" bestFit="1" customWidth="1"/>
    <col min="13059" max="13059" width="0" style="77" hidden="1" customWidth="1"/>
    <col min="13060" max="13064" width="10.5546875" style="77" bestFit="1" customWidth="1"/>
    <col min="13065" max="13292" width="9.33203125" style="77"/>
    <col min="13293" max="13293" width="2.6640625" style="77" customWidth="1"/>
    <col min="13294" max="13294" width="5.6640625" style="77" bestFit="1" customWidth="1"/>
    <col min="13295" max="13295" width="32.6640625" style="77" bestFit="1" customWidth="1"/>
    <col min="13296" max="13296" width="0" style="77" hidden="1" customWidth="1"/>
    <col min="13297" max="13297" width="10.5546875" style="77" bestFit="1" customWidth="1"/>
    <col min="13298" max="13298" width="0" style="77" hidden="1" customWidth="1"/>
    <col min="13299" max="13304" width="10.5546875" style="77" bestFit="1" customWidth="1"/>
    <col min="13305" max="13305" width="12.44140625" style="77" customWidth="1"/>
    <col min="13306" max="13306" width="12.33203125" style="77" customWidth="1"/>
    <col min="13307" max="13307" width="10.5546875" style="77" bestFit="1" customWidth="1"/>
    <col min="13308" max="13308" width="0" style="77" hidden="1" customWidth="1"/>
    <col min="13309" max="13314" width="10.5546875" style="77" bestFit="1" customWidth="1"/>
    <col min="13315" max="13315" width="0" style="77" hidden="1" customWidth="1"/>
    <col min="13316" max="13320" width="10.5546875" style="77" bestFit="1" customWidth="1"/>
    <col min="13321" max="13548" width="9.33203125" style="77"/>
    <col min="13549" max="13549" width="2.6640625" style="77" customWidth="1"/>
    <col min="13550" max="13550" width="5.6640625" style="77" bestFit="1" customWidth="1"/>
    <col min="13551" max="13551" width="32.6640625" style="77" bestFit="1" customWidth="1"/>
    <col min="13552" max="13552" width="0" style="77" hidden="1" customWidth="1"/>
    <col min="13553" max="13553" width="10.5546875" style="77" bestFit="1" customWidth="1"/>
    <col min="13554" max="13554" width="0" style="77" hidden="1" customWidth="1"/>
    <col min="13555" max="13560" width="10.5546875" style="77" bestFit="1" customWidth="1"/>
    <col min="13561" max="13561" width="12.44140625" style="77" customWidth="1"/>
    <col min="13562" max="13562" width="12.33203125" style="77" customWidth="1"/>
    <col min="13563" max="13563" width="10.5546875" style="77" bestFit="1" customWidth="1"/>
    <col min="13564" max="13564" width="0" style="77" hidden="1" customWidth="1"/>
    <col min="13565" max="13570" width="10.5546875" style="77" bestFit="1" customWidth="1"/>
    <col min="13571" max="13571" width="0" style="77" hidden="1" customWidth="1"/>
    <col min="13572" max="13576" width="10.5546875" style="77" bestFit="1" customWidth="1"/>
    <col min="13577" max="13804" width="9.33203125" style="77"/>
    <col min="13805" max="13805" width="2.6640625" style="77" customWidth="1"/>
    <col min="13806" max="13806" width="5.6640625" style="77" bestFit="1" customWidth="1"/>
    <col min="13807" max="13807" width="32.6640625" style="77" bestFit="1" customWidth="1"/>
    <col min="13808" max="13808" width="0" style="77" hidden="1" customWidth="1"/>
    <col min="13809" max="13809" width="10.5546875" style="77" bestFit="1" customWidth="1"/>
    <col min="13810" max="13810" width="0" style="77" hidden="1" customWidth="1"/>
    <col min="13811" max="13816" width="10.5546875" style="77" bestFit="1" customWidth="1"/>
    <col min="13817" max="13817" width="12.44140625" style="77" customWidth="1"/>
    <col min="13818" max="13818" width="12.33203125" style="77" customWidth="1"/>
    <col min="13819" max="13819" width="10.5546875" style="77" bestFit="1" customWidth="1"/>
    <col min="13820" max="13820" width="0" style="77" hidden="1" customWidth="1"/>
    <col min="13821" max="13826" width="10.5546875" style="77" bestFit="1" customWidth="1"/>
    <col min="13827" max="13827" width="0" style="77" hidden="1" customWidth="1"/>
    <col min="13828" max="13832" width="10.5546875" style="77" bestFit="1" customWidth="1"/>
    <col min="13833" max="14060" width="9.33203125" style="77"/>
    <col min="14061" max="14061" width="2.6640625" style="77" customWidth="1"/>
    <col min="14062" max="14062" width="5.6640625" style="77" bestFit="1" customWidth="1"/>
    <col min="14063" max="14063" width="32.6640625" style="77" bestFit="1" customWidth="1"/>
    <col min="14064" max="14064" width="0" style="77" hidden="1" customWidth="1"/>
    <col min="14065" max="14065" width="10.5546875" style="77" bestFit="1" customWidth="1"/>
    <col min="14066" max="14066" width="0" style="77" hidden="1" customWidth="1"/>
    <col min="14067" max="14072" width="10.5546875" style="77" bestFit="1" customWidth="1"/>
    <col min="14073" max="14073" width="12.44140625" style="77" customWidth="1"/>
    <col min="14074" max="14074" width="12.33203125" style="77" customWidth="1"/>
    <col min="14075" max="14075" width="10.5546875" style="77" bestFit="1" customWidth="1"/>
    <col min="14076" max="14076" width="0" style="77" hidden="1" customWidth="1"/>
    <col min="14077" max="14082" width="10.5546875" style="77" bestFit="1" customWidth="1"/>
    <col min="14083" max="14083" width="0" style="77" hidden="1" customWidth="1"/>
    <col min="14084" max="14088" width="10.5546875" style="77" bestFit="1" customWidth="1"/>
    <col min="14089" max="14316" width="9.33203125" style="77"/>
    <col min="14317" max="14317" width="2.6640625" style="77" customWidth="1"/>
    <col min="14318" max="14318" width="5.6640625" style="77" bestFit="1" customWidth="1"/>
    <col min="14319" max="14319" width="32.6640625" style="77" bestFit="1" customWidth="1"/>
    <col min="14320" max="14320" width="0" style="77" hidden="1" customWidth="1"/>
    <col min="14321" max="14321" width="10.5546875" style="77" bestFit="1" customWidth="1"/>
    <col min="14322" max="14322" width="0" style="77" hidden="1" customWidth="1"/>
    <col min="14323" max="14328" width="10.5546875" style="77" bestFit="1" customWidth="1"/>
    <col min="14329" max="14329" width="12.44140625" style="77" customWidth="1"/>
    <col min="14330" max="14330" width="12.33203125" style="77" customWidth="1"/>
    <col min="14331" max="14331" width="10.5546875" style="77" bestFit="1" customWidth="1"/>
    <col min="14332" max="14332" width="0" style="77" hidden="1" customWidth="1"/>
    <col min="14333" max="14338" width="10.5546875" style="77" bestFit="1" customWidth="1"/>
    <col min="14339" max="14339" width="0" style="77" hidden="1" customWidth="1"/>
    <col min="14340" max="14344" width="10.5546875" style="77" bestFit="1" customWidth="1"/>
    <col min="14345" max="14572" width="9.33203125" style="77"/>
    <col min="14573" max="14573" width="2.6640625" style="77" customWidth="1"/>
    <col min="14574" max="14574" width="5.6640625" style="77" bestFit="1" customWidth="1"/>
    <col min="14575" max="14575" width="32.6640625" style="77" bestFit="1" customWidth="1"/>
    <col min="14576" max="14576" width="0" style="77" hidden="1" customWidth="1"/>
    <col min="14577" max="14577" width="10.5546875" style="77" bestFit="1" customWidth="1"/>
    <col min="14578" max="14578" width="0" style="77" hidden="1" customWidth="1"/>
    <col min="14579" max="14584" width="10.5546875" style="77" bestFit="1" customWidth="1"/>
    <col min="14585" max="14585" width="12.44140625" style="77" customWidth="1"/>
    <col min="14586" max="14586" width="12.33203125" style="77" customWidth="1"/>
    <col min="14587" max="14587" width="10.5546875" style="77" bestFit="1" customWidth="1"/>
    <col min="14588" max="14588" width="0" style="77" hidden="1" customWidth="1"/>
    <col min="14589" max="14594" width="10.5546875" style="77" bestFit="1" customWidth="1"/>
    <col min="14595" max="14595" width="0" style="77" hidden="1" customWidth="1"/>
    <col min="14596" max="14600" width="10.5546875" style="77" bestFit="1" customWidth="1"/>
    <col min="14601" max="14828" width="9.33203125" style="77"/>
    <col min="14829" max="14829" width="2.6640625" style="77" customWidth="1"/>
    <col min="14830" max="14830" width="5.6640625" style="77" bestFit="1" customWidth="1"/>
    <col min="14831" max="14831" width="32.6640625" style="77" bestFit="1" customWidth="1"/>
    <col min="14832" max="14832" width="0" style="77" hidden="1" customWidth="1"/>
    <col min="14833" max="14833" width="10.5546875" style="77" bestFit="1" customWidth="1"/>
    <col min="14834" max="14834" width="0" style="77" hidden="1" customWidth="1"/>
    <col min="14835" max="14840" width="10.5546875" style="77" bestFit="1" customWidth="1"/>
    <col min="14841" max="14841" width="12.44140625" style="77" customWidth="1"/>
    <col min="14842" max="14842" width="12.33203125" style="77" customWidth="1"/>
    <col min="14843" max="14843" width="10.5546875" style="77" bestFit="1" customWidth="1"/>
    <col min="14844" max="14844" width="0" style="77" hidden="1" customWidth="1"/>
    <col min="14845" max="14850" width="10.5546875" style="77" bestFit="1" customWidth="1"/>
    <col min="14851" max="14851" width="0" style="77" hidden="1" customWidth="1"/>
    <col min="14852" max="14856" width="10.5546875" style="77" bestFit="1" customWidth="1"/>
    <col min="14857" max="15084" width="9.33203125" style="77"/>
    <col min="15085" max="15085" width="2.6640625" style="77" customWidth="1"/>
    <col min="15086" max="15086" width="5.6640625" style="77" bestFit="1" customWidth="1"/>
    <col min="15087" max="15087" width="32.6640625" style="77" bestFit="1" customWidth="1"/>
    <col min="15088" max="15088" width="0" style="77" hidden="1" customWidth="1"/>
    <col min="15089" max="15089" width="10.5546875" style="77" bestFit="1" customWidth="1"/>
    <col min="15090" max="15090" width="0" style="77" hidden="1" customWidth="1"/>
    <col min="15091" max="15096" width="10.5546875" style="77" bestFit="1" customWidth="1"/>
    <col min="15097" max="15097" width="12.44140625" style="77" customWidth="1"/>
    <col min="15098" max="15098" width="12.33203125" style="77" customWidth="1"/>
    <col min="15099" max="15099" width="10.5546875" style="77" bestFit="1" customWidth="1"/>
    <col min="15100" max="15100" width="0" style="77" hidden="1" customWidth="1"/>
    <col min="15101" max="15106" width="10.5546875" style="77" bestFit="1" customWidth="1"/>
    <col min="15107" max="15107" width="0" style="77" hidden="1" customWidth="1"/>
    <col min="15108" max="15112" width="10.5546875" style="77" bestFit="1" customWidth="1"/>
    <col min="15113" max="15340" width="9.33203125" style="77"/>
    <col min="15341" max="15341" width="2.6640625" style="77" customWidth="1"/>
    <col min="15342" max="15342" width="5.6640625" style="77" bestFit="1" customWidth="1"/>
    <col min="15343" max="15343" width="32.6640625" style="77" bestFit="1" customWidth="1"/>
    <col min="15344" max="15344" width="0" style="77" hidden="1" customWidth="1"/>
    <col min="15345" max="15345" width="10.5546875" style="77" bestFit="1" customWidth="1"/>
    <col min="15346" max="15346" width="0" style="77" hidden="1" customWidth="1"/>
    <col min="15347" max="15352" width="10.5546875" style="77" bestFit="1" customWidth="1"/>
    <col min="15353" max="15353" width="12.44140625" style="77" customWidth="1"/>
    <col min="15354" max="15354" width="12.33203125" style="77" customWidth="1"/>
    <col min="15355" max="15355" width="10.5546875" style="77" bestFit="1" customWidth="1"/>
    <col min="15356" max="15356" width="0" style="77" hidden="1" customWidth="1"/>
    <col min="15357" max="15362" width="10.5546875" style="77" bestFit="1" customWidth="1"/>
    <col min="15363" max="15363" width="0" style="77" hidden="1" customWidth="1"/>
    <col min="15364" max="15368" width="10.5546875" style="77" bestFit="1" customWidth="1"/>
    <col min="15369" max="15596" width="9.33203125" style="77"/>
    <col min="15597" max="15597" width="2.6640625" style="77" customWidth="1"/>
    <col min="15598" max="15598" width="5.6640625" style="77" bestFit="1" customWidth="1"/>
    <col min="15599" max="15599" width="32.6640625" style="77" bestFit="1" customWidth="1"/>
    <col min="15600" max="15600" width="0" style="77" hidden="1" customWidth="1"/>
    <col min="15601" max="15601" width="10.5546875" style="77" bestFit="1" customWidth="1"/>
    <col min="15602" max="15602" width="0" style="77" hidden="1" customWidth="1"/>
    <col min="15603" max="15608" width="10.5546875" style="77" bestFit="1" customWidth="1"/>
    <col min="15609" max="15609" width="12.44140625" style="77" customWidth="1"/>
    <col min="15610" max="15610" width="12.33203125" style="77" customWidth="1"/>
    <col min="15611" max="15611" width="10.5546875" style="77" bestFit="1" customWidth="1"/>
    <col min="15612" max="15612" width="0" style="77" hidden="1" customWidth="1"/>
    <col min="15613" max="15618" width="10.5546875" style="77" bestFit="1" customWidth="1"/>
    <col min="15619" max="15619" width="0" style="77" hidden="1" customWidth="1"/>
    <col min="15620" max="15624" width="10.5546875" style="77" bestFit="1" customWidth="1"/>
    <col min="15625" max="15852" width="9.33203125" style="77"/>
    <col min="15853" max="15853" width="2.6640625" style="77" customWidth="1"/>
    <col min="15854" max="15854" width="5.6640625" style="77" bestFit="1" customWidth="1"/>
    <col min="15855" max="15855" width="32.6640625" style="77" bestFit="1" customWidth="1"/>
    <col min="15856" max="15856" width="0" style="77" hidden="1" customWidth="1"/>
    <col min="15857" max="15857" width="10.5546875" style="77" bestFit="1" customWidth="1"/>
    <col min="15858" max="15858" width="0" style="77" hidden="1" customWidth="1"/>
    <col min="15859" max="15864" width="10.5546875" style="77" bestFit="1" customWidth="1"/>
    <col min="15865" max="15865" width="12.44140625" style="77" customWidth="1"/>
    <col min="15866" max="15866" width="12.33203125" style="77" customWidth="1"/>
    <col min="15867" max="15867" width="10.5546875" style="77" bestFit="1" customWidth="1"/>
    <col min="15868" max="15868" width="0" style="77" hidden="1" customWidth="1"/>
    <col min="15869" max="15874" width="10.5546875" style="77" bestFit="1" customWidth="1"/>
    <col min="15875" max="15875" width="0" style="77" hidden="1" customWidth="1"/>
    <col min="15876" max="15880" width="10.5546875" style="77" bestFit="1" customWidth="1"/>
    <col min="15881" max="16108" width="9.33203125" style="77"/>
    <col min="16109" max="16109" width="2.6640625" style="77" customWidth="1"/>
    <col min="16110" max="16110" width="5.6640625" style="77" bestFit="1" customWidth="1"/>
    <col min="16111" max="16111" width="32.6640625" style="77" bestFit="1" customWidth="1"/>
    <col min="16112" max="16112" width="0" style="77" hidden="1" customWidth="1"/>
    <col min="16113" max="16113" width="10.5546875" style="77" bestFit="1" customWidth="1"/>
    <col min="16114" max="16114" width="0" style="77" hidden="1" customWidth="1"/>
    <col min="16115" max="16120" width="10.5546875" style="77" bestFit="1" customWidth="1"/>
    <col min="16121" max="16121" width="12.44140625" style="77" customWidth="1"/>
    <col min="16122" max="16122" width="12.33203125" style="77" customWidth="1"/>
    <col min="16123" max="16123" width="10.5546875" style="77" bestFit="1" customWidth="1"/>
    <col min="16124" max="16124" width="0" style="77" hidden="1" customWidth="1"/>
    <col min="16125" max="16130" width="10.5546875" style="77" bestFit="1" customWidth="1"/>
    <col min="16131" max="16131" width="0" style="77" hidden="1" customWidth="1"/>
    <col min="16132" max="16136" width="10.5546875" style="77" bestFit="1" customWidth="1"/>
    <col min="16137" max="16384" width="9.33203125" style="77"/>
  </cols>
  <sheetData>
    <row r="2" spans="2:8" ht="12.75" customHeight="1" x14ac:dyDescent="0.3">
      <c r="B2" s="627" t="s">
        <v>618</v>
      </c>
      <c r="C2" s="628"/>
      <c r="D2" s="628"/>
      <c r="E2" s="628"/>
      <c r="F2" s="628"/>
      <c r="G2" s="628"/>
      <c r="H2" s="629"/>
    </row>
    <row r="3" spans="2:8" ht="12.75" customHeight="1" x14ac:dyDescent="0.3">
      <c r="B3" s="630" t="s">
        <v>619</v>
      </c>
      <c r="C3" s="631"/>
      <c r="D3" s="631"/>
      <c r="E3" s="631"/>
      <c r="F3" s="631"/>
      <c r="G3" s="631"/>
      <c r="H3" s="632"/>
    </row>
    <row r="4" spans="2:8" ht="12.75" customHeight="1" x14ac:dyDescent="0.3">
      <c r="B4" s="633" t="s">
        <v>620</v>
      </c>
      <c r="C4" s="634"/>
      <c r="D4" s="634"/>
      <c r="E4" s="634"/>
      <c r="F4" s="634"/>
      <c r="G4" s="634"/>
      <c r="H4" s="635"/>
    </row>
    <row r="5" spans="2:8" ht="12.75" customHeight="1" x14ac:dyDescent="0.3">
      <c r="B5" s="630" t="str">
        <f>[44]DEP!B25</f>
        <v>Sr. No</v>
      </c>
      <c r="C5" s="631" t="str">
        <f>[44]DEP!C25</f>
        <v>Particulars</v>
      </c>
      <c r="D5" s="634" t="s">
        <v>621</v>
      </c>
      <c r="E5" s="634" t="s">
        <v>350</v>
      </c>
      <c r="F5" s="634" t="s">
        <v>622</v>
      </c>
      <c r="G5" s="634" t="s">
        <v>623</v>
      </c>
      <c r="H5" s="632" t="s">
        <v>624</v>
      </c>
    </row>
    <row r="6" spans="2:8" ht="38.25" customHeight="1" x14ac:dyDescent="0.3">
      <c r="B6" s="636"/>
      <c r="C6" s="637"/>
      <c r="D6" s="638"/>
      <c r="E6" s="638"/>
      <c r="F6" s="638"/>
      <c r="G6" s="638"/>
      <c r="H6" s="639"/>
    </row>
    <row r="7" spans="2:8" ht="13.5" customHeight="1" x14ac:dyDescent="0.3">
      <c r="B7" s="354"/>
      <c r="C7" s="369"/>
      <c r="D7" s="354"/>
      <c r="E7" s="354"/>
      <c r="F7" s="354"/>
      <c r="G7" s="331"/>
      <c r="H7" s="331"/>
    </row>
    <row r="8" spans="2:8" s="90" customFormat="1" x14ac:dyDescent="0.3">
      <c r="B8" s="370" t="str">
        <f>'F6'!B28</f>
        <v>A</v>
      </c>
      <c r="C8" s="371" t="str">
        <f>'F6'!C28</f>
        <v>Tangible Assets (Under Lease)</v>
      </c>
      <c r="D8" s="340">
        <f>'F6'!I82</f>
        <v>0.28938036299999953</v>
      </c>
      <c r="E8" s="372"/>
      <c r="F8" s="340">
        <f>'F6'!I82</f>
        <v>0.28938036299999953</v>
      </c>
      <c r="G8" s="340">
        <f>'F6'!K82</f>
        <v>0.28938036299999953</v>
      </c>
      <c r="H8" s="340">
        <f>'F6'!L28</f>
        <v>9.6653041241999832E-3</v>
      </c>
    </row>
    <row r="9" spans="2:8" ht="26.25" customHeight="1" x14ac:dyDescent="0.3">
      <c r="B9" s="373">
        <f>'F6'!B29</f>
        <v>1</v>
      </c>
      <c r="C9" s="374" t="str">
        <f>'F6'!C29</f>
        <v>Leasehold Land (including land development  cost)</v>
      </c>
      <c r="D9" s="338">
        <f>'F6'!H112</f>
        <v>0.28938036299999953</v>
      </c>
      <c r="E9" s="375">
        <f>'F6'!J29</f>
        <v>3.3399999999999999E-2</v>
      </c>
      <c r="F9" s="338">
        <f>'F6'!I112</f>
        <v>0.28938036299999953</v>
      </c>
      <c r="G9" s="338">
        <f>'F6'!K112</f>
        <v>0.28938036299999953</v>
      </c>
      <c r="H9" s="338">
        <f>'F6'!L112</f>
        <v>9.6653041241999832E-3</v>
      </c>
    </row>
    <row r="10" spans="2:8" ht="15" customHeight="1" x14ac:dyDescent="0.3">
      <c r="B10" s="370"/>
      <c r="C10" s="371"/>
      <c r="D10" s="340"/>
      <c r="E10" s="375"/>
      <c r="F10" s="340"/>
      <c r="G10" s="338"/>
      <c r="H10" s="338"/>
    </row>
    <row r="11" spans="2:8" s="90" customFormat="1" ht="15" customHeight="1" x14ac:dyDescent="0.3">
      <c r="B11" s="370" t="str">
        <f>'F6'!B31</f>
        <v>B</v>
      </c>
      <c r="C11" s="371" t="str">
        <f>'F6'!C31</f>
        <v xml:space="preserve">Tangible Assets </v>
      </c>
      <c r="D11" s="340">
        <f>SUM(D12:D24)</f>
        <v>5451.9729316197308</v>
      </c>
      <c r="E11" s="372"/>
      <c r="F11" s="340">
        <f>SUM(F12:F24)</f>
        <v>5586.8857298087296</v>
      </c>
      <c r="G11" s="340">
        <f>SUM(G12:G24)</f>
        <v>5519.4293307142289</v>
      </c>
      <c r="H11" s="340">
        <f>SUM(H12:H24)</f>
        <v>290.1883879598804</v>
      </c>
    </row>
    <row r="12" spans="2:8" ht="23.25" customHeight="1" x14ac:dyDescent="0.3">
      <c r="B12" s="373">
        <f>'F6'!B32</f>
        <v>1</v>
      </c>
      <c r="C12" s="374" t="str">
        <f>'F6'!C32</f>
        <v>Land (including land development cost)</v>
      </c>
      <c r="D12" s="338">
        <f>'F6'!H115</f>
        <v>0.331655757</v>
      </c>
      <c r="E12" s="375">
        <f>'F6'!J32</f>
        <v>0</v>
      </c>
      <c r="F12" s="338">
        <f>'F6'!I115</f>
        <v>0.331655757</v>
      </c>
      <c r="G12" s="338">
        <f>'F6'!K115</f>
        <v>0.331655757</v>
      </c>
      <c r="H12" s="338">
        <f>'F6'!L115</f>
        <v>0</v>
      </c>
    </row>
    <row r="13" spans="2:8" ht="15" customHeight="1" x14ac:dyDescent="0.3">
      <c r="B13" s="373">
        <f>'F6'!B33</f>
        <v>2</v>
      </c>
      <c r="C13" s="374" t="str">
        <f>'F6'!C33</f>
        <v>Factory Buildings</v>
      </c>
      <c r="D13" s="338">
        <f>'F6'!H116</f>
        <v>36.544247128000009</v>
      </c>
      <c r="E13" s="375">
        <f>'F6'!J33</f>
        <v>3.3399999999999999E-2</v>
      </c>
      <c r="F13" s="338">
        <f>'F6'!I116</f>
        <v>37.481393961999999</v>
      </c>
      <c r="G13" s="338">
        <f>'F6'!K116</f>
        <v>37.012820545000004</v>
      </c>
      <c r="H13" s="338">
        <f>'F6'!L116</f>
        <v>1.2362282062030001</v>
      </c>
    </row>
    <row r="14" spans="2:8" ht="15" customHeight="1" x14ac:dyDescent="0.3">
      <c r="B14" s="373">
        <f>'F6'!B34</f>
        <v>3</v>
      </c>
      <c r="C14" s="374" t="str">
        <f>'F6'!C34</f>
        <v>Office Buildings</v>
      </c>
      <c r="D14" s="338">
        <f>'F6'!H117</f>
        <v>17.113362657</v>
      </c>
      <c r="E14" s="375">
        <f>'F6'!J34</f>
        <v>3.3399999999999999E-2</v>
      </c>
      <c r="F14" s="338">
        <f>'F6'!I117</f>
        <v>21.006356996999997</v>
      </c>
      <c r="G14" s="338">
        <f>'F6'!K117</f>
        <v>19.059859826999997</v>
      </c>
      <c r="H14" s="338">
        <f>'F6'!L117</f>
        <v>0.63659931822179983</v>
      </c>
    </row>
    <row r="15" spans="2:8" ht="15" customHeight="1" x14ac:dyDescent="0.3">
      <c r="B15" s="373">
        <f>'F6'!B35</f>
        <v>4</v>
      </c>
      <c r="C15" s="374" t="str">
        <f>'F6'!C35</f>
        <v>Residential &amp; Other Buidlings</v>
      </c>
      <c r="D15" s="338">
        <f>'F6'!H118</f>
        <v>6.1359133127297403</v>
      </c>
      <c r="E15" s="375">
        <f>'F6'!J35</f>
        <v>3.3399999999999999E-2</v>
      </c>
      <c r="F15" s="338">
        <f>'F6'!I118</f>
        <v>7.2143117207297403</v>
      </c>
      <c r="G15" s="338">
        <f>'F6'!K118</f>
        <v>6.6751125167297403</v>
      </c>
      <c r="H15" s="338">
        <f>'F6'!L118</f>
        <v>0.22294875805877332</v>
      </c>
    </row>
    <row r="16" spans="2:8" ht="15" customHeight="1" x14ac:dyDescent="0.3">
      <c r="B16" s="373">
        <f>'F6'!B36</f>
        <v>5</v>
      </c>
      <c r="C16" s="374" t="str">
        <f>'F6'!C36</f>
        <v>Hydraulic Works</v>
      </c>
      <c r="D16" s="338">
        <f>'F6'!H119</f>
        <v>0.9999533129999999</v>
      </c>
      <c r="E16" s="375">
        <f>'F6'!J36</f>
        <v>5.28E-2</v>
      </c>
      <c r="F16" s="338">
        <f>'F6'!I119</f>
        <v>1.2016811549999999</v>
      </c>
      <c r="G16" s="338">
        <f>'F6'!K119</f>
        <v>1.100817234</v>
      </c>
      <c r="H16" s="338">
        <f>'F6'!L119</f>
        <v>5.8123149955200001E-2</v>
      </c>
    </row>
    <row r="17" spans="2:10" ht="15" customHeight="1" x14ac:dyDescent="0.3">
      <c r="B17" s="373">
        <f>'F6'!B37</f>
        <v>6</v>
      </c>
      <c r="C17" s="374" t="str">
        <f>'F6'!C37</f>
        <v>Roads &amp; Others</v>
      </c>
      <c r="D17" s="338">
        <f>'F6'!H120</f>
        <v>9.4358779850000012</v>
      </c>
      <c r="E17" s="375">
        <f>'F6'!J37</f>
        <v>3.3399999999999999E-2</v>
      </c>
      <c r="F17" s="338">
        <f>'F6'!I120</f>
        <v>11.111806897000001</v>
      </c>
      <c r="G17" s="338">
        <f>'F6'!K120</f>
        <v>10.273842441000001</v>
      </c>
      <c r="H17" s="338">
        <f>'F6'!L120</f>
        <v>0.34314633752940005</v>
      </c>
    </row>
    <row r="18" spans="2:10" ht="15" customHeight="1" x14ac:dyDescent="0.3">
      <c r="B18" s="373">
        <f>'F6'!B38</f>
        <v>7</v>
      </c>
      <c r="C18" s="374" t="str">
        <f>'F6'!C38</f>
        <v>Plant, Machinery &amp; Equipments</v>
      </c>
      <c r="D18" s="338">
        <f>'F6'!H121</f>
        <v>3305.1335960060005</v>
      </c>
      <c r="E18" s="375">
        <f>'F6'!J38</f>
        <v>5.28E-2</v>
      </c>
      <c r="F18" s="338">
        <f>'F6'!I121</f>
        <v>3419.1952155549993</v>
      </c>
      <c r="G18" s="338">
        <f>'F6'!K121</f>
        <v>3362.1644057804997</v>
      </c>
      <c r="H18" s="338">
        <f>'F6'!L121</f>
        <v>177.52228062521039</v>
      </c>
    </row>
    <row r="19" spans="2:10" ht="15" customHeight="1" x14ac:dyDescent="0.3">
      <c r="B19" s="373">
        <f>'F6'!B39</f>
        <v>8</v>
      </c>
      <c r="C19" s="374" t="str">
        <f>'F6'!C39</f>
        <v>Lines &amp; Cable Networks</v>
      </c>
      <c r="D19" s="338">
        <f>'F6'!H122</f>
        <v>2061.2754599109999</v>
      </c>
      <c r="E19" s="375">
        <f>'F6'!J39</f>
        <v>5.28E-2</v>
      </c>
      <c r="F19" s="338">
        <f>'F6'!I122</f>
        <v>2073.7146145729998</v>
      </c>
      <c r="G19" s="338">
        <f>'F6'!K122</f>
        <v>2067.4950372419999</v>
      </c>
      <c r="H19" s="338">
        <f>'F6'!L122</f>
        <v>109.1637379663776</v>
      </c>
    </row>
    <row r="20" spans="2:10" ht="15" customHeight="1" x14ac:dyDescent="0.3">
      <c r="B20" s="373">
        <f>'F6'!B40</f>
        <v>9</v>
      </c>
      <c r="C20" s="374" t="str">
        <f>'F6'!C40</f>
        <v>Furniture and Fixtures</v>
      </c>
      <c r="D20" s="338">
        <f>'F6'!H123</f>
        <v>2.7408006759999997</v>
      </c>
      <c r="E20" s="375">
        <f>'F6'!J40</f>
        <v>6.3299999999999995E-2</v>
      </c>
      <c r="F20" s="338">
        <f>'F6'!I123</f>
        <v>2.9297214209999991</v>
      </c>
      <c r="G20" s="338">
        <f>'F6'!K123</f>
        <v>2.8352610484999996</v>
      </c>
      <c r="H20" s="338">
        <f>'F6'!L123</f>
        <v>0.17947202437004997</v>
      </c>
    </row>
    <row r="21" spans="2:10" ht="15" customHeight="1" x14ac:dyDescent="0.3">
      <c r="B21" s="373">
        <f>'F6'!B41</f>
        <v>10</v>
      </c>
      <c r="C21" s="374" t="str">
        <f>'F6'!C41</f>
        <v>Office Equipments</v>
      </c>
      <c r="D21" s="338">
        <f>'F6'!H124</f>
        <v>2.6431060139999998</v>
      </c>
      <c r="E21" s="375">
        <f>'F6'!J41</f>
        <v>6.3299999999999995E-2</v>
      </c>
      <c r="F21" s="338">
        <f>'F6'!I124</f>
        <v>2.9859030009999996</v>
      </c>
      <c r="G21" s="338">
        <f>'F6'!K124</f>
        <v>2.8145045074999997</v>
      </c>
      <c r="H21" s="338">
        <f>'F6'!L124</f>
        <v>0.17815813532474997</v>
      </c>
    </row>
    <row r="22" spans="2:10" ht="15" customHeight="1" x14ac:dyDescent="0.3">
      <c r="B22" s="373">
        <f>'F6'!B42</f>
        <v>11</v>
      </c>
      <c r="C22" s="374" t="str">
        <f>'F6'!C42</f>
        <v>Vehicles</v>
      </c>
      <c r="D22" s="338">
        <f>'F6'!H125</f>
        <v>1.1304342000000001</v>
      </c>
      <c r="E22" s="375">
        <f>'F6'!J42</f>
        <v>9.5000000000000001E-2</v>
      </c>
      <c r="F22" s="338">
        <f>'F6'!I125</f>
        <v>1.1304342000000001</v>
      </c>
      <c r="G22" s="338">
        <f>'F6'!K125</f>
        <v>1.1304342000000001</v>
      </c>
      <c r="H22" s="338">
        <f>'F6'!L125</f>
        <v>0.10739124900000001</v>
      </c>
    </row>
    <row r="23" spans="2:10" ht="15" customHeight="1" x14ac:dyDescent="0.3">
      <c r="B23" s="373">
        <f>'F6'!B43</f>
        <v>12</v>
      </c>
      <c r="C23" s="374" t="str">
        <f>'F6'!C43</f>
        <v>Others</v>
      </c>
      <c r="D23" s="338">
        <f>'F6'!H126</f>
        <v>0</v>
      </c>
      <c r="E23" s="375">
        <f>'F6'!J43</f>
        <v>5.28E-2</v>
      </c>
      <c r="F23" s="338">
        <f>'F6'!I126</f>
        <v>0</v>
      </c>
      <c r="G23" s="338">
        <f>'F6'!K126</f>
        <v>0</v>
      </c>
      <c r="H23" s="338">
        <f>'F6'!L126</f>
        <v>0</v>
      </c>
    </row>
    <row r="24" spans="2:10" ht="24" customHeight="1" x14ac:dyDescent="0.3">
      <c r="B24" s="373">
        <f>'F6'!B44</f>
        <v>13</v>
      </c>
      <c r="C24" s="374" t="str">
        <f>'F6'!C44</f>
        <v>Computer (Hardware, Software &amp; Peripherals)</v>
      </c>
      <c r="D24" s="338">
        <f>'F6'!H127</f>
        <v>8.4885246599999995</v>
      </c>
      <c r="E24" s="375">
        <f>'F6'!J44</f>
        <v>6.3299999999999995E-2</v>
      </c>
      <c r="F24" s="338">
        <f>'F6'!I127</f>
        <v>8.5826345699999997</v>
      </c>
      <c r="G24" s="338">
        <f>'F6'!K127</f>
        <v>8.5355796149999996</v>
      </c>
      <c r="H24" s="338">
        <f>'F6'!L127</f>
        <v>0.54030218962949994</v>
      </c>
    </row>
    <row r="25" spans="2:10" ht="15" customHeight="1" x14ac:dyDescent="0.3">
      <c r="B25" s="370"/>
      <c r="C25" s="374"/>
      <c r="D25" s="338">
        <f>'F6'!H45</f>
        <v>0</v>
      </c>
      <c r="E25" s="375"/>
      <c r="F25" s="340"/>
      <c r="G25" s="340"/>
      <c r="H25" s="338"/>
    </row>
    <row r="26" spans="2:10" s="90" customFormat="1" ht="15" customHeight="1" x14ac:dyDescent="0.3">
      <c r="B26" s="370" t="str">
        <f>'F6'!B46</f>
        <v>C</v>
      </c>
      <c r="C26" s="371" t="str">
        <f>'F6'!C46</f>
        <v>Total</v>
      </c>
      <c r="D26" s="340">
        <f>D11+D8</f>
        <v>5452.2623119827313</v>
      </c>
      <c r="E26" s="372"/>
      <c r="F26" s="340">
        <f>F11+F8</f>
        <v>5587.17511017173</v>
      </c>
      <c r="G26" s="340">
        <f>G11+G8</f>
        <v>5519.7187110772293</v>
      </c>
      <c r="H26" s="340">
        <f>H11+H8</f>
        <v>290.19805326400461</v>
      </c>
      <c r="I26" s="240"/>
      <c r="J26" s="240"/>
    </row>
    <row r="27" spans="2:10" ht="15" customHeight="1" x14ac:dyDescent="0.3">
      <c r="B27" s="370"/>
      <c r="C27" s="374"/>
      <c r="D27" s="338"/>
      <c r="E27" s="375"/>
      <c r="F27" s="375"/>
      <c r="G27" s="338"/>
      <c r="H27" s="338"/>
    </row>
    <row r="28" spans="2:10" s="90" customFormat="1" ht="27.75" customHeight="1" x14ac:dyDescent="0.3">
      <c r="B28" s="370" t="s">
        <v>233</v>
      </c>
      <c r="C28" s="371" t="str">
        <f>[44]DEP!C48</f>
        <v>Weighted Average Rate of Depreciation</v>
      </c>
      <c r="D28" s="340">
        <f>[44]DEP!I48</f>
        <v>0</v>
      </c>
      <c r="E28" s="372"/>
      <c r="F28" s="372"/>
      <c r="G28" s="340"/>
      <c r="H28" s="372">
        <f>H26/G26</f>
        <v>5.2574790211976127E-2</v>
      </c>
      <c r="I28" s="209"/>
    </row>
    <row r="29" spans="2:10" x14ac:dyDescent="0.3">
      <c r="B29" s="331"/>
      <c r="C29" s="365" t="s">
        <v>616</v>
      </c>
      <c r="D29" s="344"/>
      <c r="E29" s="334"/>
      <c r="F29" s="334"/>
      <c r="G29" s="334"/>
      <c r="H29" s="334"/>
    </row>
    <row r="30" spans="2:10" x14ac:dyDescent="0.3">
      <c r="B30" s="331"/>
      <c r="C30" s="622" t="s">
        <v>625</v>
      </c>
      <c r="D30" s="622"/>
      <c r="E30" s="334"/>
      <c r="F30" s="334"/>
      <c r="G30" s="334"/>
      <c r="H30" s="334"/>
    </row>
    <row r="31" spans="2:10" x14ac:dyDescent="0.3">
      <c r="C31" s="626"/>
      <c r="D31" s="626"/>
    </row>
    <row r="32" spans="2:10" x14ac:dyDescent="0.3">
      <c r="C32" s="626"/>
      <c r="D32" s="626"/>
    </row>
  </sheetData>
  <mergeCells count="13">
    <mergeCell ref="C30:D30"/>
    <mergeCell ref="C31:D31"/>
    <mergeCell ref="C32:D32"/>
    <mergeCell ref="B2:H2"/>
    <mergeCell ref="B3:H3"/>
    <mergeCell ref="B4:H4"/>
    <mergeCell ref="B5:B6"/>
    <mergeCell ref="C5:C6"/>
    <mergeCell ref="D5:D6"/>
    <mergeCell ref="G5:G6"/>
    <mergeCell ref="E5:E6"/>
    <mergeCell ref="F5:F6"/>
    <mergeCell ref="H5:H6"/>
  </mergeCells>
  <pageMargins left="0.7" right="0.7" top="0.75" bottom="0.75" header="0.3" footer="0.3"/>
  <pageSetup scale="28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B3:U66"/>
  <sheetViews>
    <sheetView showGridLines="0" zoomScale="94" zoomScaleNormal="85" zoomScaleSheetLayoutView="100" workbookViewId="0">
      <pane xSplit="3" ySplit="7" topLeftCell="G9" activePane="bottomRight" state="frozen"/>
      <selection pane="topRight" activeCell="D1" sqref="D1"/>
      <selection pane="bottomLeft" activeCell="A8" sqref="A8"/>
      <selection pane="bottomRight" activeCell="O9" sqref="O9:O11"/>
    </sheetView>
  </sheetViews>
  <sheetFormatPr defaultColWidth="9.33203125" defaultRowHeight="13.8" x14ac:dyDescent="0.3"/>
  <cols>
    <col min="1" max="1" width="2.44140625" style="1" customWidth="1"/>
    <col min="2" max="2" width="5.5546875" style="6" bestFit="1" customWidth="1"/>
    <col min="3" max="3" width="34" style="1" bestFit="1" customWidth="1"/>
    <col min="4" max="4" width="13.6640625" style="1" customWidth="1"/>
    <col min="5" max="5" width="11.33203125" style="1" customWidth="1"/>
    <col min="6" max="7" width="12.44140625" style="1" customWidth="1"/>
    <col min="8" max="8" width="10.6640625" style="1" customWidth="1"/>
    <col min="9" max="10" width="11.44140625" style="1" customWidth="1"/>
    <col min="11" max="11" width="12" style="1" customWidth="1"/>
    <col min="12" max="12" width="9.44140625" style="1" customWidth="1"/>
    <col min="13" max="13" width="9.33203125" style="1"/>
    <col min="14" max="15" width="9.33203125" style="1" customWidth="1"/>
    <col min="16" max="16384" width="9.33203125" style="1"/>
  </cols>
  <sheetData>
    <row r="3" spans="2:19" x14ac:dyDescent="0.3">
      <c r="J3" s="9"/>
      <c r="Q3" s="9" t="s">
        <v>20</v>
      </c>
    </row>
    <row r="4" spans="2:19" x14ac:dyDescent="0.3">
      <c r="B4" s="582" t="s">
        <v>21</v>
      </c>
      <c r="C4" s="582"/>
      <c r="D4" s="582"/>
      <c r="E4" s="582"/>
      <c r="F4" s="582"/>
      <c r="G4" s="582"/>
      <c r="H4" s="582"/>
      <c r="I4" s="582"/>
      <c r="J4" s="582"/>
      <c r="K4" s="582"/>
      <c r="L4" s="174"/>
      <c r="M4" s="186"/>
      <c r="N4" s="484"/>
      <c r="O4" s="186"/>
      <c r="P4" s="186"/>
      <c r="Q4" s="186"/>
    </row>
    <row r="5" spans="2:19" ht="15" customHeight="1" x14ac:dyDescent="0.3">
      <c r="B5" s="583" t="s">
        <v>1</v>
      </c>
      <c r="C5" s="583" t="s">
        <v>2</v>
      </c>
      <c r="D5" s="174"/>
      <c r="E5" s="174"/>
      <c r="F5" s="174"/>
      <c r="G5" s="174"/>
      <c r="H5" s="583"/>
      <c r="I5" s="583"/>
      <c r="J5" s="583"/>
      <c r="K5" s="583"/>
      <c r="L5" s="174"/>
      <c r="M5" s="186"/>
      <c r="N5" s="186"/>
      <c r="O5" s="186"/>
      <c r="P5" s="186"/>
      <c r="Q5" s="186"/>
    </row>
    <row r="6" spans="2:19" x14ac:dyDescent="0.3">
      <c r="B6" s="583"/>
      <c r="C6" s="583"/>
      <c r="D6" s="174" t="s">
        <v>22</v>
      </c>
      <c r="E6" s="174" t="s">
        <v>23</v>
      </c>
      <c r="F6" s="174" t="s">
        <v>24</v>
      </c>
      <c r="G6" s="174" t="s">
        <v>25</v>
      </c>
      <c r="H6" s="583" t="s">
        <v>26</v>
      </c>
      <c r="I6" s="583"/>
      <c r="J6" s="583" t="s">
        <v>27</v>
      </c>
      <c r="K6" s="583"/>
      <c r="L6" s="583" t="s">
        <v>28</v>
      </c>
      <c r="M6" s="583"/>
      <c r="N6" s="583" t="s">
        <v>29</v>
      </c>
      <c r="O6" s="583"/>
      <c r="P6" s="186"/>
      <c r="Q6" s="186"/>
    </row>
    <row r="7" spans="2:19" ht="124.8" thickBot="1" x14ac:dyDescent="0.35">
      <c r="B7" s="590"/>
      <c r="C7" s="590"/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34</v>
      </c>
      <c r="K7" s="7" t="s">
        <v>35</v>
      </c>
      <c r="L7" s="7" t="s">
        <v>36</v>
      </c>
      <c r="M7" s="7" t="s">
        <v>35</v>
      </c>
      <c r="N7" s="7" t="s">
        <v>37</v>
      </c>
      <c r="O7" s="7" t="s">
        <v>35</v>
      </c>
      <c r="P7" s="7"/>
      <c r="Q7" s="7"/>
    </row>
    <row r="8" spans="2:19" ht="14.25" customHeight="1" x14ac:dyDescent="0.3">
      <c r="N8" s="172"/>
    </row>
    <row r="9" spans="2:19" s="23" customFormat="1" ht="12" customHeight="1" x14ac:dyDescent="0.3">
      <c r="B9" s="60">
        <v>1</v>
      </c>
      <c r="C9" s="62" t="s">
        <v>38</v>
      </c>
      <c r="D9" s="62">
        <v>146.07</v>
      </c>
      <c r="E9" s="62">
        <v>150.62</v>
      </c>
      <c r="F9" s="62">
        <v>168.12</v>
      </c>
      <c r="G9" s="266">
        <f>[21]F1!J9</f>
        <v>178.31066862600005</v>
      </c>
      <c r="H9" s="42">
        <f>'F3'!D92</f>
        <v>185.02</v>
      </c>
      <c r="I9" s="143">
        <f>'F3'!E35</f>
        <v>208.73564977099997</v>
      </c>
      <c r="J9" s="143">
        <v>201.77</v>
      </c>
      <c r="K9" s="42">
        <f>'F3'!G35</f>
        <v>195.24410515399998</v>
      </c>
      <c r="L9" s="42">
        <v>186.72</v>
      </c>
      <c r="M9" s="143">
        <f>'F3'!I35</f>
        <v>189.43001799899994</v>
      </c>
      <c r="N9" s="42">
        <v>196.37</v>
      </c>
      <c r="O9" s="42">
        <f>'F3'!K35</f>
        <v>188.31604671500003</v>
      </c>
      <c r="P9" s="42"/>
      <c r="Q9" s="42"/>
    </row>
    <row r="10" spans="2:19" s="23" customFormat="1" x14ac:dyDescent="0.3">
      <c r="B10" s="60">
        <f>B9+1</f>
        <v>2</v>
      </c>
      <c r="C10" s="62" t="s">
        <v>39</v>
      </c>
      <c r="D10" s="62">
        <v>45.91</v>
      </c>
      <c r="E10" s="289">
        <v>35.799999999999997</v>
      </c>
      <c r="F10" s="177">
        <v>38.869999999999997</v>
      </c>
      <c r="G10" s="266">
        <f>[21]F1!J10</f>
        <v>45.722943782000002</v>
      </c>
      <c r="H10" s="42">
        <f ca="1">'F3'!D93</f>
        <v>33.01</v>
      </c>
      <c r="I10" s="143">
        <f>'F3'!F138</f>
        <v>48.177879780234015</v>
      </c>
      <c r="J10" s="143">
        <v>30.96</v>
      </c>
      <c r="K10" s="467">
        <v>50.42</v>
      </c>
      <c r="L10" s="42">
        <v>44.21</v>
      </c>
      <c r="M10" s="143">
        <f>'F13'!F18-'F3'!K138</f>
        <v>57.667913359712607</v>
      </c>
      <c r="N10" s="42">
        <v>46.37</v>
      </c>
      <c r="O10" s="42">
        <f>'F13'!G18-'F3'!N138</f>
        <v>49.424701084686362</v>
      </c>
      <c r="P10" s="42"/>
      <c r="Q10" s="42"/>
      <c r="R10" s="325"/>
      <c r="S10" s="325">
        <f>M9+M10+M11-M14</f>
        <v>290.36277958571253</v>
      </c>
    </row>
    <row r="11" spans="2:19" s="23" customFormat="1" x14ac:dyDescent="0.3">
      <c r="B11" s="60">
        <f t="shared" ref="B11:B22" si="0">B10+1</f>
        <v>3</v>
      </c>
      <c r="C11" s="62" t="s">
        <v>40</v>
      </c>
      <c r="D11" s="62"/>
      <c r="E11" s="63">
        <v>27.33</v>
      </c>
      <c r="F11" s="62">
        <v>32.08</v>
      </c>
      <c r="G11" s="266">
        <f>[21]F1!J11</f>
        <v>41.642235699000011</v>
      </c>
      <c r="H11" s="42">
        <f ca="1">'F3'!D94</f>
        <v>33.840000000000003</v>
      </c>
      <c r="I11" s="143">
        <f>'F3'!F139</f>
        <v>45.372900082000015</v>
      </c>
      <c r="J11" s="143">
        <v>31.73</v>
      </c>
      <c r="K11" s="42">
        <f>'F3'!I139</f>
        <v>51.141576368999999</v>
      </c>
      <c r="L11" s="42">
        <v>45.31</v>
      </c>
      <c r="M11" s="143">
        <f>'F3'!L139</f>
        <v>54.074477441999981</v>
      </c>
      <c r="N11" s="42">
        <v>47.52</v>
      </c>
      <c r="O11" s="42">
        <f>'F3'!O139</f>
        <v>62.442761813999965</v>
      </c>
      <c r="P11" s="42"/>
      <c r="Q11" s="42"/>
    </row>
    <row r="12" spans="2:19" s="23" customFormat="1" x14ac:dyDescent="0.3">
      <c r="B12" s="60">
        <f t="shared" si="0"/>
        <v>4</v>
      </c>
      <c r="C12" s="62" t="s">
        <v>41</v>
      </c>
      <c r="D12" s="62">
        <v>30.73</v>
      </c>
      <c r="E12" s="62">
        <v>35.85</v>
      </c>
      <c r="F12" s="62">
        <v>49.16</v>
      </c>
      <c r="G12" s="266">
        <f>[21]F1!J12</f>
        <v>53.61</v>
      </c>
      <c r="H12" s="42">
        <f>'F3'!D71</f>
        <v>58.47</v>
      </c>
      <c r="I12" s="42">
        <f>'F3'!E71</f>
        <v>58.47</v>
      </c>
      <c r="J12" s="42">
        <v>45.26</v>
      </c>
      <c r="K12" s="42">
        <f>'F3'!G71</f>
        <v>45.26</v>
      </c>
      <c r="L12" s="42">
        <v>69.52</v>
      </c>
      <c r="M12" s="143">
        <v>69.52</v>
      </c>
      <c r="N12" s="42">
        <v>87.65</v>
      </c>
      <c r="O12" s="42">
        <f>'F3'!K71</f>
        <v>87.65</v>
      </c>
      <c r="P12" s="42"/>
      <c r="Q12" s="42"/>
    </row>
    <row r="13" spans="2:19" s="23" customFormat="1" x14ac:dyDescent="0.3">
      <c r="B13" s="60">
        <f t="shared" si="0"/>
        <v>5</v>
      </c>
      <c r="C13" s="62" t="s">
        <v>42</v>
      </c>
      <c r="D13" s="177">
        <v>0</v>
      </c>
      <c r="E13" s="62">
        <v>15.23</v>
      </c>
      <c r="F13" s="290">
        <v>0</v>
      </c>
      <c r="G13" s="266">
        <f>[21]F1!J13</f>
        <v>0</v>
      </c>
      <c r="H13" s="42">
        <f>'F3'!D48</f>
        <v>13.97</v>
      </c>
      <c r="I13" s="42"/>
      <c r="J13" s="42">
        <v>15.24</v>
      </c>
      <c r="K13" s="42"/>
      <c r="L13" s="42">
        <v>16.61</v>
      </c>
      <c r="M13" s="141"/>
      <c r="N13" s="42"/>
      <c r="O13" s="141"/>
      <c r="P13" s="42"/>
      <c r="Q13" s="141"/>
    </row>
    <row r="14" spans="2:19" s="23" customFormat="1" ht="27.6" x14ac:dyDescent="0.3">
      <c r="B14" s="60">
        <f t="shared" si="0"/>
        <v>6</v>
      </c>
      <c r="C14" s="220" t="s">
        <v>43</v>
      </c>
      <c r="D14" s="287">
        <v>14.09</v>
      </c>
      <c r="E14" s="288">
        <v>24.88</v>
      </c>
      <c r="F14" s="42">
        <v>15.6</v>
      </c>
      <c r="G14" s="294">
        <f>[21]F1!J14</f>
        <v>15.299031257000001</v>
      </c>
      <c r="H14" s="42">
        <f>'F3'!D83</f>
        <v>0</v>
      </c>
      <c r="I14" s="228">
        <f>'F3'!E83</f>
        <v>16.553220090999996</v>
      </c>
      <c r="J14" s="228"/>
      <c r="K14" s="302">
        <f>'F3'!G60+'F3'!G36</f>
        <v>14.845179725999996</v>
      </c>
      <c r="L14" s="42"/>
      <c r="M14" s="302">
        <f>(-1)*('F3'!I60+'F3'!I36)</f>
        <v>10.809629214999999</v>
      </c>
      <c r="N14" s="42"/>
      <c r="O14" s="141">
        <f>(-1)*('F3'!K36+'F3'!K60)</f>
        <v>11.978342101000001</v>
      </c>
      <c r="P14" s="42">
        <f>O9+O10+O11-O14</f>
        <v>288.20516751268639</v>
      </c>
      <c r="Q14" s="141"/>
      <c r="S14" s="325"/>
    </row>
    <row r="15" spans="2:19" s="23" customFormat="1" x14ac:dyDescent="0.3">
      <c r="B15" s="60">
        <f t="shared" si="0"/>
        <v>7</v>
      </c>
      <c r="C15" s="63" t="s">
        <v>14</v>
      </c>
      <c r="D15" s="286">
        <v>148.05933750000003</v>
      </c>
      <c r="E15" s="42">
        <v>161.72999999999999</v>
      </c>
      <c r="F15" s="42">
        <v>175.03</v>
      </c>
      <c r="G15" s="266">
        <f>[21]F1!J15</f>
        <v>186.59664328814449</v>
      </c>
      <c r="H15" s="42">
        <f>'F6'!H21</f>
        <v>228.02367500000005</v>
      </c>
      <c r="I15" s="42">
        <f>'F6'!I21</f>
        <v>208.51356277089994</v>
      </c>
      <c r="J15" s="42">
        <v>237.36</v>
      </c>
      <c r="K15" s="42">
        <f>'F6'!K21</f>
        <v>231.99875801655651</v>
      </c>
      <c r="L15" s="42">
        <v>242.12</v>
      </c>
      <c r="M15" s="143">
        <f>'F6'!M21</f>
        <v>249.12435774060776</v>
      </c>
      <c r="N15" s="42">
        <v>251.33</v>
      </c>
      <c r="O15" s="42">
        <f>'F6'!O21</f>
        <v>256.74539891145395</v>
      </c>
      <c r="P15" s="42"/>
      <c r="Q15" s="42"/>
    </row>
    <row r="16" spans="2:19" s="23" customFormat="1" x14ac:dyDescent="0.3">
      <c r="B16" s="60">
        <f t="shared" si="0"/>
        <v>8</v>
      </c>
      <c r="C16" s="62" t="s">
        <v>44</v>
      </c>
      <c r="D16" s="266">
        <v>198.28</v>
      </c>
      <c r="E16" s="42">
        <v>205.35</v>
      </c>
      <c r="F16" s="143">
        <v>195.65</v>
      </c>
      <c r="G16" s="266">
        <f>[21]F1!J16</f>
        <v>175.47284356689349</v>
      </c>
      <c r="H16" s="42">
        <v>253.55</v>
      </c>
      <c r="I16" s="42">
        <f>'F5'!I77</f>
        <v>199.84075585067177</v>
      </c>
      <c r="J16" s="42">
        <v>240.49</v>
      </c>
      <c r="K16" s="42">
        <f>'F5'!K77</f>
        <v>195.77</v>
      </c>
      <c r="L16" s="42">
        <v>198.77</v>
      </c>
      <c r="M16" s="143">
        <f>'F5'!M77</f>
        <v>192.26389384024492</v>
      </c>
      <c r="N16" s="42">
        <v>177.34</v>
      </c>
      <c r="O16" s="42">
        <f>'F5'!O77</f>
        <v>187.60957992887072</v>
      </c>
      <c r="P16" s="42"/>
      <c r="Q16" s="42"/>
    </row>
    <row r="17" spans="2:21" s="23" customFormat="1" x14ac:dyDescent="0.3">
      <c r="B17" s="60">
        <f t="shared" si="0"/>
        <v>9</v>
      </c>
      <c r="C17" s="62" t="s">
        <v>45</v>
      </c>
      <c r="D17" s="266">
        <v>13.756500000000001</v>
      </c>
      <c r="E17" s="42">
        <v>14.013000000000002</v>
      </c>
      <c r="F17" s="42">
        <v>13.52</v>
      </c>
      <c r="G17" s="266">
        <f>[21]F1!J17</f>
        <v>13.270420256154601</v>
      </c>
      <c r="H17" s="42">
        <f>'F7'!H16</f>
        <v>15.49</v>
      </c>
      <c r="I17" s="42">
        <f>'F7'!I16</f>
        <v>14.914531821014315</v>
      </c>
      <c r="J17" s="42">
        <v>16.2</v>
      </c>
      <c r="K17" s="42">
        <f>'F7'!K16</f>
        <v>13.502544998650876</v>
      </c>
      <c r="L17" s="42">
        <v>15.65</v>
      </c>
      <c r="M17" s="302">
        <f>'F7'!M16</f>
        <v>13.417561915187894</v>
      </c>
      <c r="N17" s="42">
        <v>14.03</v>
      </c>
      <c r="O17" s="42">
        <f>'F7'!O16</f>
        <v>14.129750243509966</v>
      </c>
      <c r="P17" s="42"/>
      <c r="Q17" s="42"/>
    </row>
    <row r="18" spans="2:21" s="23" customFormat="1" x14ac:dyDescent="0.3">
      <c r="B18" s="60">
        <f t="shared" si="0"/>
        <v>10</v>
      </c>
      <c r="C18" s="64" t="s">
        <v>46</v>
      </c>
      <c r="D18" s="281">
        <v>23.09</v>
      </c>
      <c r="E18" s="290">
        <v>-4.83</v>
      </c>
      <c r="F18" s="290">
        <v>0</v>
      </c>
      <c r="G18" s="266">
        <f>[21]F1!J18</f>
        <v>0</v>
      </c>
      <c r="H18" s="42">
        <f>'F4'!D32</f>
        <v>0</v>
      </c>
      <c r="I18" s="143">
        <f>'F4'!E32</f>
        <v>0</v>
      </c>
      <c r="J18" s="143"/>
      <c r="K18" s="42"/>
      <c r="L18" s="42"/>
      <c r="N18" s="42"/>
      <c r="O18" s="141"/>
      <c r="P18" s="42"/>
      <c r="Q18" s="141"/>
    </row>
    <row r="19" spans="2:21" s="23" customFormat="1" x14ac:dyDescent="0.3">
      <c r="B19" s="60">
        <f t="shared" si="0"/>
        <v>11</v>
      </c>
      <c r="C19" s="62" t="s">
        <v>47</v>
      </c>
      <c r="D19" s="266">
        <v>126.10327017000002</v>
      </c>
      <c r="E19" s="42">
        <v>136.17380484</v>
      </c>
      <c r="F19" s="42">
        <v>145.76</v>
      </c>
      <c r="G19" s="266">
        <f>[21]F1!J19</f>
        <v>156.84541982504052</v>
      </c>
      <c r="H19" s="42">
        <f>'F5'!H56</f>
        <v>194.44827500000002</v>
      </c>
      <c r="I19" s="42">
        <f>'F5'!I53</f>
        <v>176.28353738715526</v>
      </c>
      <c r="J19" s="42">
        <v>202.8</v>
      </c>
      <c r="K19" s="42">
        <f>'F5'!K56</f>
        <v>198.52639012422949</v>
      </c>
      <c r="L19" s="42">
        <v>206</v>
      </c>
      <c r="M19" s="143">
        <f>'F5'!M56</f>
        <v>215.45735160912946</v>
      </c>
      <c r="N19" s="42">
        <v>218.63</v>
      </c>
      <c r="O19" s="42">
        <f>'F5'!O56</f>
        <v>226.48386615067619</v>
      </c>
      <c r="P19" s="42"/>
      <c r="Q19" s="42"/>
    </row>
    <row r="20" spans="2:21" s="23" customFormat="1" x14ac:dyDescent="0.3">
      <c r="B20" s="60">
        <f t="shared" si="0"/>
        <v>12</v>
      </c>
      <c r="C20" s="62" t="s">
        <v>48</v>
      </c>
      <c r="D20" s="62">
        <v>4.42</v>
      </c>
      <c r="E20" s="290">
        <v>-4.07</v>
      </c>
      <c r="F20" s="290">
        <v>-4.58</v>
      </c>
      <c r="G20" s="266">
        <f>[21]F1!J20</f>
        <v>-8.1408015060838537</v>
      </c>
      <c r="H20" s="42">
        <f>'F3'!D110</f>
        <v>0</v>
      </c>
      <c r="I20" s="290">
        <f>'F3'!$F$110</f>
        <v>21.993343445093178</v>
      </c>
      <c r="J20" s="290"/>
      <c r="K20" s="42">
        <f>(-7.49)</f>
        <v>-7.49</v>
      </c>
      <c r="L20" s="42"/>
      <c r="M20" s="23">
        <f>'F3'!L110</f>
        <v>-8.9359912858473081</v>
      </c>
      <c r="N20" s="42"/>
      <c r="O20" s="141">
        <f>'F3'!O110</f>
        <v>-0.38425939322779357</v>
      </c>
      <c r="P20" s="42"/>
      <c r="Q20" s="141"/>
    </row>
    <row r="21" spans="2:21" s="23" customFormat="1" x14ac:dyDescent="0.3">
      <c r="B21" s="60">
        <f t="shared" si="0"/>
        <v>13</v>
      </c>
      <c r="C21" s="62" t="s">
        <v>49</v>
      </c>
      <c r="D21" s="62"/>
      <c r="E21" s="62"/>
      <c r="F21" s="62">
        <v>2.99</v>
      </c>
      <c r="G21" s="266">
        <f>[21]F1!J21</f>
        <v>3.0510125109173512</v>
      </c>
      <c r="H21" s="42"/>
      <c r="I21" s="42">
        <f ca="1">'F8'!$D$10</f>
        <v>3.6455192761117123</v>
      </c>
      <c r="J21" s="42"/>
      <c r="K21" s="42">
        <f ca="1">'F8'!D10</f>
        <v>3.6455192761117123</v>
      </c>
      <c r="L21" s="42"/>
      <c r="M21" s="302">
        <v>3.62</v>
      </c>
      <c r="N21" s="42"/>
      <c r="O21" s="302">
        <f ca="1">'F8'!F10</f>
        <v>4.0027749534751687</v>
      </c>
      <c r="P21" s="42"/>
    </row>
    <row r="22" spans="2:21" s="23" customFormat="1" ht="14.4" thickBot="1" x14ac:dyDescent="0.35">
      <c r="B22" s="60">
        <f t="shared" si="0"/>
        <v>14</v>
      </c>
      <c r="C22" s="62" t="s">
        <v>50</v>
      </c>
      <c r="D22" s="62"/>
      <c r="E22" s="62">
        <v>7.65</v>
      </c>
      <c r="F22" s="62">
        <v>14.38</v>
      </c>
      <c r="G22" s="266">
        <f>[21]F1!J22</f>
        <v>7.3791198431074321</v>
      </c>
      <c r="H22" s="42"/>
      <c r="I22" s="266">
        <f>[22]PL!$H$27/10^7</f>
        <v>21.097941662338876</v>
      </c>
      <c r="J22" s="266"/>
      <c r="K22" s="477">
        <f>[23]PL!$H$27/10^7</f>
        <v>12.744500887935523</v>
      </c>
      <c r="L22" s="42"/>
      <c r="M22" s="23">
        <f>[24]PL!$H$27/10^7</f>
        <v>1.9845223299551102</v>
      </c>
      <c r="N22" s="42"/>
      <c r="O22" s="302">
        <f>[25]PL!$H$27/10^2</f>
        <v>9.1395929440000003</v>
      </c>
      <c r="U22" s="325">
        <f>L27-M27</f>
        <v>47.258964694009592</v>
      </c>
    </row>
    <row r="23" spans="2:21" ht="14.4" thickBot="1" x14ac:dyDescent="0.35">
      <c r="B23" s="14">
        <f>B22+1</f>
        <v>15</v>
      </c>
      <c r="C23" s="15" t="s">
        <v>51</v>
      </c>
      <c r="D23" s="16">
        <f t="shared" ref="D23:I23" si="1">SUM(D9:D13)+SUM(D15:D22)-D14</f>
        <v>722.3291076700001</v>
      </c>
      <c r="E23" s="16">
        <f t="shared" si="1"/>
        <v>755.96680484000001</v>
      </c>
      <c r="F23" s="16">
        <f t="shared" si="1"/>
        <v>815.38</v>
      </c>
      <c r="G23" s="16">
        <f t="shared" si="1"/>
        <v>838.46147463417401</v>
      </c>
      <c r="H23" s="16">
        <f t="shared" ca="1" si="1"/>
        <v>1015.8219500000001</v>
      </c>
      <c r="I23" s="16">
        <f t="shared" ca="1" si="1"/>
        <v>990.49240175551904</v>
      </c>
      <c r="J23" s="16">
        <f>SUM(J9:J13)+SUM(J15:J22)-J14</f>
        <v>1021.8100000000001</v>
      </c>
      <c r="K23" s="16">
        <f ca="1">SUM(K9:K13)+SUM(K15:K22)-K14</f>
        <v>975.91821510048408</v>
      </c>
      <c r="L23" s="16">
        <f>SUM(L9:L13)+SUM(L15:L22)-L14</f>
        <v>1024.9099999999999</v>
      </c>
      <c r="M23" s="16">
        <f>SUM(M9:M13)+SUM(M15:M22)-M14</f>
        <v>1026.8144757349903</v>
      </c>
      <c r="N23" s="16">
        <f t="shared" ref="N23:O23" si="2">SUM(N9:N13)+SUM(N15:N22)-N14</f>
        <v>1039.2399999999998</v>
      </c>
      <c r="O23" s="16">
        <f t="shared" ca="1" si="2"/>
        <v>1073.5818712514445</v>
      </c>
      <c r="P23" s="16"/>
      <c r="Q23" s="16"/>
    </row>
    <row r="24" spans="2:21" x14ac:dyDescent="0.3">
      <c r="C24" s="2"/>
      <c r="D24" s="2"/>
      <c r="E24" s="2"/>
      <c r="F24" s="2"/>
      <c r="G24" s="2"/>
      <c r="H24" s="10"/>
      <c r="I24" s="10"/>
      <c r="J24" s="10"/>
      <c r="K24" s="10"/>
      <c r="N24" s="42"/>
    </row>
    <row r="25" spans="2:21" s="23" customFormat="1" x14ac:dyDescent="0.3">
      <c r="B25" s="60">
        <f>B23+1</f>
        <v>16</v>
      </c>
      <c r="C25" s="62" t="s">
        <v>52</v>
      </c>
      <c r="D25" s="62">
        <v>22.35</v>
      </c>
      <c r="E25" s="62">
        <v>13.33</v>
      </c>
      <c r="F25" s="62">
        <v>26.54</v>
      </c>
      <c r="G25" s="266">
        <f>[21]F1!J25</f>
        <v>32.994171752000007</v>
      </c>
      <c r="H25" s="42">
        <f>'F4'!D41</f>
        <v>22.35</v>
      </c>
      <c r="I25" s="42">
        <f>'F4'!E41</f>
        <v>24.184789074901925</v>
      </c>
      <c r="J25" s="42">
        <v>22.35</v>
      </c>
      <c r="K25" s="42">
        <f>'F4'!G41</f>
        <v>13.501126206999999</v>
      </c>
      <c r="L25" s="42">
        <v>22.35</v>
      </c>
      <c r="M25" s="302">
        <f>'F4'!I41</f>
        <v>71.653440428999943</v>
      </c>
      <c r="N25" s="302">
        <v>13.5</v>
      </c>
      <c r="O25" s="302">
        <f>'F4'!K41</f>
        <v>16.849283533999998</v>
      </c>
    </row>
    <row r="26" spans="2:21" ht="14.4" thickBot="1" x14ac:dyDescent="0.35">
      <c r="C26" s="2"/>
      <c r="D26" s="2"/>
      <c r="E26" s="2"/>
      <c r="F26" s="295"/>
      <c r="G26" s="2"/>
      <c r="H26" s="10"/>
      <c r="I26" s="10"/>
      <c r="J26" s="10"/>
      <c r="K26" s="10"/>
      <c r="N26" s="10"/>
    </row>
    <row r="27" spans="2:21" ht="14.4" thickBot="1" x14ac:dyDescent="0.35">
      <c r="B27" s="14">
        <f>B25+1</f>
        <v>17</v>
      </c>
      <c r="C27" s="18" t="s">
        <v>53</v>
      </c>
      <c r="D27" s="16">
        <f>D23-D25</f>
        <v>699.97910767000008</v>
      </c>
      <c r="E27" s="16">
        <v>742.63</v>
      </c>
      <c r="F27" s="16">
        <v>788.85</v>
      </c>
      <c r="G27" s="16">
        <f>G23-G25</f>
        <v>805.46730288217395</v>
      </c>
      <c r="H27" s="16">
        <v>993.46</v>
      </c>
      <c r="I27" s="16">
        <f ca="1">I23-I25</f>
        <v>966.30761268061713</v>
      </c>
      <c r="J27" s="16">
        <f t="shared" ref="J27:K27" si="3">J23-J25</f>
        <v>999.46</v>
      </c>
      <c r="K27" s="16">
        <f t="shared" ca="1" si="3"/>
        <v>962.41708889348411</v>
      </c>
      <c r="L27" s="16">
        <v>1002.42</v>
      </c>
      <c r="M27" s="16">
        <f>M23-M25</f>
        <v>955.16103530599037</v>
      </c>
      <c r="N27" s="239">
        <f>N23-N25</f>
        <v>1025.7399999999998</v>
      </c>
      <c r="O27" s="239">
        <f ca="1">O23-O25</f>
        <v>1056.7325877174444</v>
      </c>
      <c r="P27" s="16"/>
      <c r="Q27" s="16"/>
    </row>
    <row r="28" spans="2:21" ht="14.4" thickBot="1" x14ac:dyDescent="0.35">
      <c r="H28" s="10"/>
      <c r="I28" s="10"/>
      <c r="J28" s="10"/>
      <c r="K28" s="10"/>
      <c r="N28" s="10"/>
    </row>
    <row r="29" spans="2:21" ht="14.4" thickBot="1" x14ac:dyDescent="0.35">
      <c r="B29" s="14">
        <f>B27+1</f>
        <v>18</v>
      </c>
      <c r="C29" s="18" t="s">
        <v>54</v>
      </c>
      <c r="D29" s="18">
        <v>724.23</v>
      </c>
      <c r="E29" s="18">
        <v>739.55</v>
      </c>
      <c r="F29" s="18">
        <f>913.39</f>
        <v>913.39</v>
      </c>
      <c r="G29" s="18">
        <f>[21]F1!J29</f>
        <v>813.59</v>
      </c>
      <c r="H29" s="16">
        <f>H27</f>
        <v>993.46</v>
      </c>
      <c r="I29" s="16">
        <f>'F4'!E9</f>
        <v>963.48</v>
      </c>
      <c r="J29" s="16">
        <v>1026.6199999999999</v>
      </c>
      <c r="K29" s="16">
        <f>'F4'!G9</f>
        <v>816.83999987100003</v>
      </c>
      <c r="L29" s="42"/>
      <c r="M29" s="51">
        <f>(SUM('[24]31 Revenue'!$F$10:$F$15))/10^7</f>
        <v>927.24000006800065</v>
      </c>
      <c r="N29" s="42"/>
      <c r="O29" s="1">
        <f>'F4'!K9</f>
        <v>967.63840992799999</v>
      </c>
    </row>
    <row r="30" spans="2:21" ht="14.4" thickBot="1" x14ac:dyDescent="0.35">
      <c r="C30" s="8"/>
      <c r="D30" s="8"/>
      <c r="E30" s="8"/>
      <c r="F30" s="8"/>
      <c r="G30" s="8"/>
      <c r="H30" s="11"/>
      <c r="I30" s="11"/>
      <c r="J30" s="11"/>
      <c r="K30" s="11"/>
      <c r="L30" s="51"/>
    </row>
    <row r="31" spans="2:21" ht="14.4" thickBot="1" x14ac:dyDescent="0.35">
      <c r="B31" s="14">
        <f>B29+1</f>
        <v>19</v>
      </c>
      <c r="C31" s="18" t="s">
        <v>55</v>
      </c>
      <c r="D31" s="16">
        <f t="shared" ref="D31:H31" si="4">D29-D27</f>
        <v>24.250892329999942</v>
      </c>
      <c r="E31" s="16">
        <f t="shared" si="4"/>
        <v>-3.0800000000000409</v>
      </c>
      <c r="F31" s="16">
        <f t="shared" si="4"/>
        <v>124.53999999999996</v>
      </c>
      <c r="G31" s="239">
        <f t="shared" si="4"/>
        <v>8.1226971178260783</v>
      </c>
      <c r="H31" s="16">
        <f t="shared" si="4"/>
        <v>0</v>
      </c>
      <c r="I31" s="239">
        <f ca="1">I29-I27</f>
        <v>-2.8276126806171078</v>
      </c>
      <c r="J31" s="239"/>
      <c r="K31" s="239">
        <f ca="1">K27-K29</f>
        <v>145.57708902248407</v>
      </c>
      <c r="L31" s="42"/>
    </row>
    <row r="32" spans="2:21" x14ac:dyDescent="0.3">
      <c r="C32" s="268" t="s">
        <v>56</v>
      </c>
      <c r="D32" s="8"/>
      <c r="E32" s="176"/>
      <c r="F32" s="176"/>
      <c r="G32" s="176"/>
      <c r="H32" s="176"/>
      <c r="I32" s="176"/>
      <c r="J32" s="176"/>
      <c r="K32" s="176"/>
    </row>
    <row r="33" spans="2:13" ht="13.5" customHeight="1" thickBot="1" x14ac:dyDescent="0.35">
      <c r="H33" s="10"/>
      <c r="I33" s="10"/>
      <c r="J33" s="10"/>
      <c r="K33" s="10"/>
    </row>
    <row r="34" spans="2:13" ht="14.4" thickBot="1" x14ac:dyDescent="0.35">
      <c r="B34" s="14">
        <f>B31+1</f>
        <v>20</v>
      </c>
      <c r="C34" s="18" t="s">
        <v>57</v>
      </c>
      <c r="D34" s="18"/>
      <c r="E34" s="18">
        <v>83.82</v>
      </c>
      <c r="F34" s="16">
        <f>-89.91</f>
        <v>-89.91</v>
      </c>
      <c r="G34" s="18">
        <f>103.21</f>
        <v>103.21</v>
      </c>
      <c r="H34" s="16"/>
      <c r="I34" s="18">
        <v>29.98</v>
      </c>
      <c r="J34" s="18"/>
      <c r="K34" s="16"/>
      <c r="L34" s="51"/>
    </row>
    <row r="35" spans="2:13" s="23" customFormat="1" x14ac:dyDescent="0.3">
      <c r="B35" s="60"/>
      <c r="C35" s="23" t="s">
        <v>55</v>
      </c>
      <c r="E35" s="42">
        <f>E31</f>
        <v>-3.0800000000000409</v>
      </c>
      <c r="F35" s="42">
        <f>F31</f>
        <v>124.53999999999996</v>
      </c>
      <c r="G35" s="42">
        <f>G31</f>
        <v>8.1226971178260783</v>
      </c>
      <c r="H35" s="42">
        <f>H31</f>
        <v>0</v>
      </c>
      <c r="I35" s="42">
        <f ca="1">I31</f>
        <v>-2.8276126806171078</v>
      </c>
      <c r="J35" s="42"/>
      <c r="K35" s="42"/>
    </row>
    <row r="36" spans="2:13" s="23" customFormat="1" ht="14.4" thickBot="1" x14ac:dyDescent="0.35">
      <c r="B36" s="60"/>
      <c r="C36" s="23" t="s">
        <v>58</v>
      </c>
      <c r="H36" s="42"/>
      <c r="I36" s="42"/>
      <c r="J36" s="42"/>
      <c r="K36" s="42"/>
    </row>
    <row r="37" spans="2:13" s="23" customFormat="1" ht="14.4" thickBot="1" x14ac:dyDescent="0.35">
      <c r="B37" s="14">
        <f>B34+1</f>
        <v>21</v>
      </c>
      <c r="C37" s="18" t="s">
        <v>59</v>
      </c>
      <c r="D37" s="18"/>
      <c r="E37" s="18">
        <f>E34+E35-E36</f>
        <v>80.739999999999952</v>
      </c>
      <c r="F37" s="18">
        <f>F34+F35-F36</f>
        <v>34.629999999999967</v>
      </c>
      <c r="G37" s="201">
        <f>G34+G35-G36</f>
        <v>111.33269711782607</v>
      </c>
      <c r="H37" s="16">
        <f>H34+H35-H36</f>
        <v>0</v>
      </c>
      <c r="I37" s="16">
        <f t="shared" ref="I37" ca="1" si="5">I34+I35-I36</f>
        <v>27.152387319382893</v>
      </c>
      <c r="J37" s="16"/>
      <c r="K37" s="16">
        <f ca="1">I40</f>
        <v>30.637462945865249</v>
      </c>
      <c r="L37" s="16">
        <f ca="1">K40</f>
        <v>34.451827082625471</v>
      </c>
    </row>
    <row r="38" spans="2:13" s="23" customFormat="1" x14ac:dyDescent="0.3">
      <c r="B38" s="60"/>
      <c r="C38" s="23" t="s">
        <v>60</v>
      </c>
      <c r="E38" s="171">
        <v>0.13500000000000001</v>
      </c>
      <c r="F38" s="171"/>
      <c r="G38" s="171"/>
      <c r="H38" s="61"/>
      <c r="I38" s="291">
        <f>'F7'!I15</f>
        <v>0.122</v>
      </c>
      <c r="J38" s="291"/>
      <c r="K38" s="291">
        <f>8.95%+3.5%</f>
        <v>0.1245</v>
      </c>
      <c r="L38" s="291">
        <f>K38</f>
        <v>0.1245</v>
      </c>
      <c r="M38" s="1" t="s">
        <v>61</v>
      </c>
    </row>
    <row r="39" spans="2:13" s="23" customFormat="1" ht="14.4" thickBot="1" x14ac:dyDescent="0.35">
      <c r="B39" s="60"/>
      <c r="C39" s="23" t="s">
        <v>62</v>
      </c>
      <c r="E39" s="42">
        <f t="shared" ref="E39:I39" si="6">(E34+E37)/2*E38</f>
        <v>11.107799999999997</v>
      </c>
      <c r="F39" s="42"/>
      <c r="G39" s="42"/>
      <c r="H39" s="42">
        <f t="shared" si="6"/>
        <v>0</v>
      </c>
      <c r="I39" s="42">
        <f t="shared" ca="1" si="6"/>
        <v>3.4850756264823564</v>
      </c>
      <c r="J39" s="42"/>
      <c r="K39" s="42">
        <f ca="1">(K37)*K38</f>
        <v>3.8143641367602235</v>
      </c>
      <c r="L39" s="42">
        <f ca="1">(L37)*L38/2</f>
        <v>2.1446262358934356</v>
      </c>
    </row>
    <row r="40" spans="2:13" ht="14.4" thickBot="1" x14ac:dyDescent="0.35">
      <c r="B40" s="14">
        <f>B37+1</f>
        <v>22</v>
      </c>
      <c r="C40" s="18" t="s">
        <v>63</v>
      </c>
      <c r="D40" s="18"/>
      <c r="E40" s="178">
        <f>E37+E39</f>
        <v>91.84779999999995</v>
      </c>
      <c r="F40" s="178"/>
      <c r="G40" s="178"/>
      <c r="H40" s="16">
        <f>H37+H39</f>
        <v>0</v>
      </c>
      <c r="I40" s="178">
        <f ca="1">I37+I39</f>
        <v>30.637462945865249</v>
      </c>
      <c r="J40" s="178"/>
      <c r="K40" s="178">
        <f ca="1">K37+K39</f>
        <v>34.451827082625471</v>
      </c>
      <c r="L40" s="178">
        <f ca="1">L37+L39</f>
        <v>36.596453318518904</v>
      </c>
    </row>
    <row r="41" spans="2:13" x14ac:dyDescent="0.3">
      <c r="F41" s="1" t="s">
        <v>64</v>
      </c>
      <c r="G41" s="1">
        <v>123.79</v>
      </c>
    </row>
    <row r="42" spans="2:13" x14ac:dyDescent="0.3">
      <c r="F42" s="172" t="s">
        <v>65</v>
      </c>
      <c r="G42" s="10">
        <f>G37-G41</f>
        <v>-12.457302882173934</v>
      </c>
    </row>
    <row r="44" spans="2:13" ht="14.4" thickBot="1" x14ac:dyDescent="0.35"/>
    <row r="45" spans="2:13" x14ac:dyDescent="0.3">
      <c r="F45" s="271"/>
      <c r="G45" s="586" t="s">
        <v>2</v>
      </c>
      <c r="H45" s="588" t="s">
        <v>66</v>
      </c>
      <c r="I45" s="588" t="s">
        <v>67</v>
      </c>
      <c r="J45" s="300"/>
      <c r="K45" s="588" t="s">
        <v>68</v>
      </c>
      <c r="L45" s="588" t="s">
        <v>69</v>
      </c>
    </row>
    <row r="46" spans="2:13" ht="14.4" thickBot="1" x14ac:dyDescent="0.35">
      <c r="F46" s="272" t="s">
        <v>1</v>
      </c>
      <c r="G46" s="591"/>
      <c r="H46" s="589"/>
      <c r="I46" s="589"/>
      <c r="J46" s="301"/>
      <c r="K46" s="589"/>
      <c r="L46" s="589"/>
    </row>
    <row r="47" spans="2:13" ht="27" thickBot="1" x14ac:dyDescent="0.35">
      <c r="F47" s="229">
        <v>1</v>
      </c>
      <c r="G47" s="223" t="s">
        <v>70</v>
      </c>
      <c r="H47" s="224">
        <v>0</v>
      </c>
      <c r="I47" s="232">
        <f>H54</f>
        <v>-13.242112963750891</v>
      </c>
      <c r="J47" s="232"/>
      <c r="K47" s="232">
        <f ca="1">I54</f>
        <v>13.95103220053675</v>
      </c>
      <c r="L47" s="232">
        <f ca="1">K54</f>
        <v>15.687935709503575</v>
      </c>
    </row>
    <row r="48" spans="2:13" ht="27" thickBot="1" x14ac:dyDescent="0.35">
      <c r="F48" s="229">
        <v>2</v>
      </c>
      <c r="G48" s="223" t="s">
        <v>71</v>
      </c>
      <c r="H48" s="232">
        <f>G42</f>
        <v>-12.457302882173934</v>
      </c>
      <c r="I48" s="232">
        <f ca="1">I37</f>
        <v>27.152387319382893</v>
      </c>
      <c r="J48" s="232"/>
      <c r="K48" s="224">
        <v>0</v>
      </c>
      <c r="L48" s="224">
        <v>0</v>
      </c>
    </row>
    <row r="49" spans="6:12" ht="27" thickBot="1" x14ac:dyDescent="0.35">
      <c r="F49" s="230">
        <v>3</v>
      </c>
      <c r="G49" s="273" t="s">
        <v>72</v>
      </c>
      <c r="H49" s="231">
        <f>H47+H48</f>
        <v>-12.457302882173934</v>
      </c>
      <c r="I49" s="231">
        <f ca="1">I47+I48</f>
        <v>13.910274355632001</v>
      </c>
      <c r="J49" s="231"/>
      <c r="K49" s="231">
        <f ca="1">K47+K48</f>
        <v>13.95103220053675</v>
      </c>
      <c r="L49" s="231">
        <f ca="1">L47+L48</f>
        <v>15.687935709503575</v>
      </c>
    </row>
    <row r="50" spans="6:12" ht="18" customHeight="1" thickBot="1" x14ac:dyDescent="0.35">
      <c r="F50" s="229">
        <v>4</v>
      </c>
      <c r="G50" s="223" t="s">
        <v>73</v>
      </c>
      <c r="H50" s="274">
        <v>0.126</v>
      </c>
      <c r="I50" s="274">
        <f>I38</f>
        <v>0.122</v>
      </c>
      <c r="J50" s="274"/>
      <c r="K50" s="274">
        <f>K38</f>
        <v>0.1245</v>
      </c>
      <c r="L50" s="274">
        <f>L38</f>
        <v>0.1245</v>
      </c>
    </row>
    <row r="51" spans="6:12" ht="16.5" customHeight="1" thickBot="1" x14ac:dyDescent="0.35">
      <c r="F51" s="229">
        <v>5</v>
      </c>
      <c r="G51" s="273" t="s">
        <v>74</v>
      </c>
      <c r="H51" s="232">
        <f>(H49)/2*H50</f>
        <v>-0.78481008157695786</v>
      </c>
      <c r="I51" s="232">
        <f ca="1">(I47+I48/2)*I50</f>
        <v>4.0757844904747723E-2</v>
      </c>
      <c r="J51" s="232"/>
      <c r="K51" s="232">
        <f ca="1">(K47+K48/2)*K50</f>
        <v>1.7369035089668252</v>
      </c>
      <c r="L51" s="232">
        <f ca="1">(L47/2)*L50</f>
        <v>0.9765739979165976</v>
      </c>
    </row>
    <row r="52" spans="6:12" ht="27" thickBot="1" x14ac:dyDescent="0.35">
      <c r="F52" s="230">
        <v>6</v>
      </c>
      <c r="G52" s="273" t="s">
        <v>75</v>
      </c>
      <c r="H52" s="231">
        <f>H51+H49</f>
        <v>-13.242112963750891</v>
      </c>
      <c r="I52" s="231">
        <f ca="1">I51+I49</f>
        <v>13.95103220053675</v>
      </c>
      <c r="J52" s="231"/>
      <c r="K52" s="231">
        <f ca="1">K51+K49</f>
        <v>15.687935709503575</v>
      </c>
      <c r="L52" s="231">
        <f ca="1">L51+L49</f>
        <v>16.664509707420173</v>
      </c>
    </row>
    <row r="53" spans="6:12" ht="53.4" thickBot="1" x14ac:dyDescent="0.35">
      <c r="F53" s="229">
        <v>7</v>
      </c>
      <c r="G53" s="223" t="s">
        <v>76</v>
      </c>
      <c r="H53" s="275">
        <v>0</v>
      </c>
      <c r="I53" s="275">
        <v>0</v>
      </c>
      <c r="J53" s="275"/>
      <c r="K53" s="275">
        <v>0</v>
      </c>
      <c r="L53" s="275">
        <v>0</v>
      </c>
    </row>
    <row r="54" spans="6:12" ht="27" thickBot="1" x14ac:dyDescent="0.35">
      <c r="F54" s="230">
        <v>8</v>
      </c>
      <c r="G54" s="273" t="s">
        <v>77</v>
      </c>
      <c r="H54" s="231">
        <f>H52-H53</f>
        <v>-13.242112963750891</v>
      </c>
      <c r="I54" s="231">
        <f ca="1">I52-I53</f>
        <v>13.95103220053675</v>
      </c>
      <c r="J54" s="231"/>
      <c r="K54" s="231">
        <f ca="1">K52-K53</f>
        <v>15.687935709503575</v>
      </c>
      <c r="L54" s="231">
        <f ca="1">L52-L53</f>
        <v>16.664509707420173</v>
      </c>
    </row>
    <row r="56" spans="6:12" ht="14.4" thickBot="1" x14ac:dyDescent="0.35">
      <c r="L56" s="12"/>
    </row>
    <row r="57" spans="6:12" x14ac:dyDescent="0.3">
      <c r="F57" s="584" t="s">
        <v>78</v>
      </c>
      <c r="G57" s="584" t="s">
        <v>2</v>
      </c>
      <c r="H57" s="586" t="s">
        <v>68</v>
      </c>
      <c r="I57" s="586" t="s">
        <v>69</v>
      </c>
      <c r="J57" s="586" t="s">
        <v>79</v>
      </c>
    </row>
    <row r="58" spans="6:12" x14ac:dyDescent="0.3">
      <c r="F58" s="585"/>
      <c r="G58" s="585"/>
      <c r="H58" s="587"/>
      <c r="I58" s="587"/>
      <c r="J58" s="587"/>
    </row>
    <row r="59" spans="6:12" ht="27.6" x14ac:dyDescent="0.3">
      <c r="F59" s="147">
        <v>1</v>
      </c>
      <c r="G59" s="321" t="s">
        <v>70</v>
      </c>
      <c r="H59" s="148">
        <v>0</v>
      </c>
      <c r="I59" s="227">
        <f ca="1">H64</f>
        <v>39.356726278449813</v>
      </c>
      <c r="J59" s="227">
        <f ca="1">I64</f>
        <v>43.646609442800845</v>
      </c>
    </row>
    <row r="60" spans="6:12" ht="27.6" x14ac:dyDescent="0.3">
      <c r="F60" s="147">
        <v>2</v>
      </c>
      <c r="G60" s="321" t="s">
        <v>71</v>
      </c>
      <c r="H60" s="327">
        <f ca="1">999.45-K27</f>
        <v>37.03291110651594</v>
      </c>
      <c r="I60" s="148">
        <v>0</v>
      </c>
      <c r="J60" s="148">
        <v>0</v>
      </c>
    </row>
    <row r="61" spans="6:12" ht="27.6" x14ac:dyDescent="0.3">
      <c r="F61" s="147">
        <v>3</v>
      </c>
      <c r="G61" s="321" t="s">
        <v>72</v>
      </c>
      <c r="H61" s="148">
        <f ca="1">H59+H60</f>
        <v>37.03291110651594</v>
      </c>
      <c r="I61" s="227">
        <f ca="1">I59+I60</f>
        <v>39.356726278449813</v>
      </c>
      <c r="J61" s="227">
        <f ca="1">J59+J60</f>
        <v>43.646609442800845</v>
      </c>
    </row>
    <row r="62" spans="6:12" x14ac:dyDescent="0.3">
      <c r="F62" s="147">
        <v>4</v>
      </c>
      <c r="G62" s="321" t="s">
        <v>73</v>
      </c>
      <c r="H62" s="322">
        <v>0.1255</v>
      </c>
      <c r="I62" s="322">
        <f>'F7'!L15</f>
        <v>0.109</v>
      </c>
      <c r="J62" s="322">
        <f>'F7'!M15</f>
        <v>0.109</v>
      </c>
    </row>
    <row r="63" spans="6:12" x14ac:dyDescent="0.3">
      <c r="F63" s="147">
        <v>5</v>
      </c>
      <c r="G63" s="321" t="s">
        <v>74</v>
      </c>
      <c r="H63" s="227">
        <f ca="1">(H61*H62)/2</f>
        <v>2.3238151719338753</v>
      </c>
      <c r="I63" s="227">
        <f ca="1">I61*I62</f>
        <v>4.2898831643510293</v>
      </c>
      <c r="J63" s="227">
        <f ca="1">(J61*J62)/2</f>
        <v>2.378740214632646</v>
      </c>
    </row>
    <row r="64" spans="6:12" ht="27.6" x14ac:dyDescent="0.3">
      <c r="F64" s="147">
        <v>6</v>
      </c>
      <c r="G64" s="321" t="s">
        <v>75</v>
      </c>
      <c r="H64" s="227">
        <f ca="1">H61+H63</f>
        <v>39.356726278449813</v>
      </c>
      <c r="I64" s="227">
        <f ca="1">I61+I63</f>
        <v>43.646609442800845</v>
      </c>
      <c r="J64" s="227">
        <f ca="1">J61+J63</f>
        <v>46.025349657433487</v>
      </c>
    </row>
    <row r="65" spans="6:7" x14ac:dyDescent="0.3">
      <c r="F65" s="19"/>
      <c r="G65" s="29"/>
    </row>
    <row r="66" spans="6:7" x14ac:dyDescent="0.3">
      <c r="F66" s="19"/>
      <c r="G66" s="29"/>
    </row>
  </sheetData>
  <mergeCells count="18">
    <mergeCell ref="F57:F58"/>
    <mergeCell ref="B4:K4"/>
    <mergeCell ref="H5:K5"/>
    <mergeCell ref="C5:C7"/>
    <mergeCell ref="B5:B7"/>
    <mergeCell ref="H6:I6"/>
    <mergeCell ref="J6:K6"/>
    <mergeCell ref="G45:G46"/>
    <mergeCell ref="H45:H46"/>
    <mergeCell ref="I45:I46"/>
    <mergeCell ref="K45:K46"/>
    <mergeCell ref="N6:O6"/>
    <mergeCell ref="G57:G58"/>
    <mergeCell ref="H57:H58"/>
    <mergeCell ref="I57:I58"/>
    <mergeCell ref="J57:J58"/>
    <mergeCell ref="L6:M6"/>
    <mergeCell ref="L45:L46"/>
  </mergeCells>
  <pageMargins left="0.7" right="0.7" top="0.75" bottom="0.75" header="0.3" footer="0.3"/>
  <pageSetup scale="52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B2:S48"/>
  <sheetViews>
    <sheetView showGridLines="0" zoomScaleNormal="100" zoomScaleSheetLayoutView="80" workbookViewId="0">
      <selection activeCell="B10" sqref="B10:N10"/>
    </sheetView>
  </sheetViews>
  <sheetFormatPr defaultRowHeight="13.8" x14ac:dyDescent="0.3"/>
  <cols>
    <col min="1" max="1" width="3.5546875" style="116" customWidth="1"/>
    <col min="2" max="2" width="11.44140625" style="116" customWidth="1"/>
    <col min="3" max="3" width="11.33203125" style="116" bestFit="1" customWidth="1"/>
    <col min="4" max="4" width="12.44140625" style="116" bestFit="1" customWidth="1"/>
    <col min="5" max="5" width="12.44140625" style="116" customWidth="1"/>
    <col min="6" max="6" width="10.6640625" style="116" customWidth="1"/>
    <col min="7" max="7" width="12.6640625" style="116" customWidth="1"/>
    <col min="8" max="8" width="9.5546875" style="116" customWidth="1"/>
    <col min="9" max="9" width="14" style="116" customWidth="1"/>
    <col min="10" max="10" width="25.33203125" style="116" customWidth="1"/>
    <col min="11" max="11" width="12.6640625" style="116" customWidth="1"/>
    <col min="12" max="12" width="11.6640625" style="116" customWidth="1"/>
    <col min="13" max="13" width="12.6640625" style="116" customWidth="1"/>
    <col min="14" max="14" width="14" style="116" customWidth="1"/>
    <col min="15" max="15" width="15" style="116" customWidth="1"/>
    <col min="16" max="256" width="9.33203125" style="116"/>
    <col min="257" max="257" width="3.5546875" style="116" customWidth="1"/>
    <col min="258" max="258" width="11.44140625" style="116" customWidth="1"/>
    <col min="259" max="259" width="11.33203125" style="116" bestFit="1" customWidth="1"/>
    <col min="260" max="260" width="12.44140625" style="116" bestFit="1" customWidth="1"/>
    <col min="261" max="261" width="12.44140625" style="116" customWidth="1"/>
    <col min="262" max="262" width="10.6640625" style="116" customWidth="1"/>
    <col min="263" max="263" width="12.6640625" style="116" customWidth="1"/>
    <col min="264" max="264" width="9.5546875" style="116" customWidth="1"/>
    <col min="265" max="265" width="14" style="116" customWidth="1"/>
    <col min="266" max="266" width="25.33203125" style="116" customWidth="1"/>
    <col min="267" max="267" width="12.6640625" style="116" customWidth="1"/>
    <col min="268" max="268" width="11.6640625" style="116" customWidth="1"/>
    <col min="269" max="269" width="12.6640625" style="116" customWidth="1"/>
    <col min="270" max="270" width="14" style="116" customWidth="1"/>
    <col min="271" max="271" width="15" style="116" customWidth="1"/>
    <col min="272" max="512" width="9.33203125" style="116"/>
    <col min="513" max="513" width="3.5546875" style="116" customWidth="1"/>
    <col min="514" max="514" width="11.44140625" style="116" customWidth="1"/>
    <col min="515" max="515" width="11.33203125" style="116" bestFit="1" customWidth="1"/>
    <col min="516" max="516" width="12.44140625" style="116" bestFit="1" customWidth="1"/>
    <col min="517" max="517" width="12.44140625" style="116" customWidth="1"/>
    <col min="518" max="518" width="10.6640625" style="116" customWidth="1"/>
    <col min="519" max="519" width="12.6640625" style="116" customWidth="1"/>
    <col min="520" max="520" width="9.5546875" style="116" customWidth="1"/>
    <col min="521" max="521" width="14" style="116" customWidth="1"/>
    <col min="522" max="522" width="25.33203125" style="116" customWidth="1"/>
    <col min="523" max="523" width="12.6640625" style="116" customWidth="1"/>
    <col min="524" max="524" width="11.6640625" style="116" customWidth="1"/>
    <col min="525" max="525" width="12.6640625" style="116" customWidth="1"/>
    <col min="526" max="526" width="14" style="116" customWidth="1"/>
    <col min="527" max="527" width="15" style="116" customWidth="1"/>
    <col min="528" max="768" width="9.33203125" style="116"/>
    <col min="769" max="769" width="3.5546875" style="116" customWidth="1"/>
    <col min="770" max="770" width="11.44140625" style="116" customWidth="1"/>
    <col min="771" max="771" width="11.33203125" style="116" bestFit="1" customWidth="1"/>
    <col min="772" max="772" width="12.44140625" style="116" bestFit="1" customWidth="1"/>
    <col min="773" max="773" width="12.44140625" style="116" customWidth="1"/>
    <col min="774" max="774" width="10.6640625" style="116" customWidth="1"/>
    <col min="775" max="775" width="12.6640625" style="116" customWidth="1"/>
    <col min="776" max="776" width="9.5546875" style="116" customWidth="1"/>
    <col min="777" max="777" width="14" style="116" customWidth="1"/>
    <col min="778" max="778" width="25.33203125" style="116" customWidth="1"/>
    <col min="779" max="779" width="12.6640625" style="116" customWidth="1"/>
    <col min="780" max="780" width="11.6640625" style="116" customWidth="1"/>
    <col min="781" max="781" width="12.6640625" style="116" customWidth="1"/>
    <col min="782" max="782" width="14" style="116" customWidth="1"/>
    <col min="783" max="783" width="15" style="116" customWidth="1"/>
    <col min="784" max="1024" width="9.33203125" style="116"/>
    <col min="1025" max="1025" width="3.5546875" style="116" customWidth="1"/>
    <col min="1026" max="1026" width="11.44140625" style="116" customWidth="1"/>
    <col min="1027" max="1027" width="11.33203125" style="116" bestFit="1" customWidth="1"/>
    <col min="1028" max="1028" width="12.44140625" style="116" bestFit="1" customWidth="1"/>
    <col min="1029" max="1029" width="12.44140625" style="116" customWidth="1"/>
    <col min="1030" max="1030" width="10.6640625" style="116" customWidth="1"/>
    <col min="1031" max="1031" width="12.6640625" style="116" customWidth="1"/>
    <col min="1032" max="1032" width="9.5546875" style="116" customWidth="1"/>
    <col min="1033" max="1033" width="14" style="116" customWidth="1"/>
    <col min="1034" max="1034" width="25.33203125" style="116" customWidth="1"/>
    <col min="1035" max="1035" width="12.6640625" style="116" customWidth="1"/>
    <col min="1036" max="1036" width="11.6640625" style="116" customWidth="1"/>
    <col min="1037" max="1037" width="12.6640625" style="116" customWidth="1"/>
    <col min="1038" max="1038" width="14" style="116" customWidth="1"/>
    <col min="1039" max="1039" width="15" style="116" customWidth="1"/>
    <col min="1040" max="1280" width="9.33203125" style="116"/>
    <col min="1281" max="1281" width="3.5546875" style="116" customWidth="1"/>
    <col min="1282" max="1282" width="11.44140625" style="116" customWidth="1"/>
    <col min="1283" max="1283" width="11.33203125" style="116" bestFit="1" customWidth="1"/>
    <col min="1284" max="1284" width="12.44140625" style="116" bestFit="1" customWidth="1"/>
    <col min="1285" max="1285" width="12.44140625" style="116" customWidth="1"/>
    <col min="1286" max="1286" width="10.6640625" style="116" customWidth="1"/>
    <col min="1287" max="1287" width="12.6640625" style="116" customWidth="1"/>
    <col min="1288" max="1288" width="9.5546875" style="116" customWidth="1"/>
    <col min="1289" max="1289" width="14" style="116" customWidth="1"/>
    <col min="1290" max="1290" width="25.33203125" style="116" customWidth="1"/>
    <col min="1291" max="1291" width="12.6640625" style="116" customWidth="1"/>
    <col min="1292" max="1292" width="11.6640625" style="116" customWidth="1"/>
    <col min="1293" max="1293" width="12.6640625" style="116" customWidth="1"/>
    <col min="1294" max="1294" width="14" style="116" customWidth="1"/>
    <col min="1295" max="1295" width="15" style="116" customWidth="1"/>
    <col min="1296" max="1536" width="9.33203125" style="116"/>
    <col min="1537" max="1537" width="3.5546875" style="116" customWidth="1"/>
    <col min="1538" max="1538" width="11.44140625" style="116" customWidth="1"/>
    <col min="1539" max="1539" width="11.33203125" style="116" bestFit="1" customWidth="1"/>
    <col min="1540" max="1540" width="12.44140625" style="116" bestFit="1" customWidth="1"/>
    <col min="1541" max="1541" width="12.44140625" style="116" customWidth="1"/>
    <col min="1542" max="1542" width="10.6640625" style="116" customWidth="1"/>
    <col min="1543" max="1543" width="12.6640625" style="116" customWidth="1"/>
    <col min="1544" max="1544" width="9.5546875" style="116" customWidth="1"/>
    <col min="1545" max="1545" width="14" style="116" customWidth="1"/>
    <col min="1546" max="1546" width="25.33203125" style="116" customWidth="1"/>
    <col min="1547" max="1547" width="12.6640625" style="116" customWidth="1"/>
    <col min="1548" max="1548" width="11.6640625" style="116" customWidth="1"/>
    <col min="1549" max="1549" width="12.6640625" style="116" customWidth="1"/>
    <col min="1550" max="1550" width="14" style="116" customWidth="1"/>
    <col min="1551" max="1551" width="15" style="116" customWidth="1"/>
    <col min="1552" max="1792" width="9.33203125" style="116"/>
    <col min="1793" max="1793" width="3.5546875" style="116" customWidth="1"/>
    <col min="1794" max="1794" width="11.44140625" style="116" customWidth="1"/>
    <col min="1795" max="1795" width="11.33203125" style="116" bestFit="1" customWidth="1"/>
    <col min="1796" max="1796" width="12.44140625" style="116" bestFit="1" customWidth="1"/>
    <col min="1797" max="1797" width="12.44140625" style="116" customWidth="1"/>
    <col min="1798" max="1798" width="10.6640625" style="116" customWidth="1"/>
    <col min="1799" max="1799" width="12.6640625" style="116" customWidth="1"/>
    <col min="1800" max="1800" width="9.5546875" style="116" customWidth="1"/>
    <col min="1801" max="1801" width="14" style="116" customWidth="1"/>
    <col min="1802" max="1802" width="25.33203125" style="116" customWidth="1"/>
    <col min="1803" max="1803" width="12.6640625" style="116" customWidth="1"/>
    <col min="1804" max="1804" width="11.6640625" style="116" customWidth="1"/>
    <col min="1805" max="1805" width="12.6640625" style="116" customWidth="1"/>
    <col min="1806" max="1806" width="14" style="116" customWidth="1"/>
    <col min="1807" max="1807" width="15" style="116" customWidth="1"/>
    <col min="1808" max="2048" width="9.33203125" style="116"/>
    <col min="2049" max="2049" width="3.5546875" style="116" customWidth="1"/>
    <col min="2050" max="2050" width="11.44140625" style="116" customWidth="1"/>
    <col min="2051" max="2051" width="11.33203125" style="116" bestFit="1" customWidth="1"/>
    <col min="2052" max="2052" width="12.44140625" style="116" bestFit="1" customWidth="1"/>
    <col min="2053" max="2053" width="12.44140625" style="116" customWidth="1"/>
    <col min="2054" max="2054" width="10.6640625" style="116" customWidth="1"/>
    <col min="2055" max="2055" width="12.6640625" style="116" customWidth="1"/>
    <col min="2056" max="2056" width="9.5546875" style="116" customWidth="1"/>
    <col min="2057" max="2057" width="14" style="116" customWidth="1"/>
    <col min="2058" max="2058" width="25.33203125" style="116" customWidth="1"/>
    <col min="2059" max="2059" width="12.6640625" style="116" customWidth="1"/>
    <col min="2060" max="2060" width="11.6640625" style="116" customWidth="1"/>
    <col min="2061" max="2061" width="12.6640625" style="116" customWidth="1"/>
    <col min="2062" max="2062" width="14" style="116" customWidth="1"/>
    <col min="2063" max="2063" width="15" style="116" customWidth="1"/>
    <col min="2064" max="2304" width="9.33203125" style="116"/>
    <col min="2305" max="2305" width="3.5546875" style="116" customWidth="1"/>
    <col min="2306" max="2306" width="11.44140625" style="116" customWidth="1"/>
    <col min="2307" max="2307" width="11.33203125" style="116" bestFit="1" customWidth="1"/>
    <col min="2308" max="2308" width="12.44140625" style="116" bestFit="1" customWidth="1"/>
    <col min="2309" max="2309" width="12.44140625" style="116" customWidth="1"/>
    <col min="2310" max="2310" width="10.6640625" style="116" customWidth="1"/>
    <col min="2311" max="2311" width="12.6640625" style="116" customWidth="1"/>
    <col min="2312" max="2312" width="9.5546875" style="116" customWidth="1"/>
    <col min="2313" max="2313" width="14" style="116" customWidth="1"/>
    <col min="2314" max="2314" width="25.33203125" style="116" customWidth="1"/>
    <col min="2315" max="2315" width="12.6640625" style="116" customWidth="1"/>
    <col min="2316" max="2316" width="11.6640625" style="116" customWidth="1"/>
    <col min="2317" max="2317" width="12.6640625" style="116" customWidth="1"/>
    <col min="2318" max="2318" width="14" style="116" customWidth="1"/>
    <col min="2319" max="2319" width="15" style="116" customWidth="1"/>
    <col min="2320" max="2560" width="9.33203125" style="116"/>
    <col min="2561" max="2561" width="3.5546875" style="116" customWidth="1"/>
    <col min="2562" max="2562" width="11.44140625" style="116" customWidth="1"/>
    <col min="2563" max="2563" width="11.33203125" style="116" bestFit="1" customWidth="1"/>
    <col min="2564" max="2564" width="12.44140625" style="116" bestFit="1" customWidth="1"/>
    <col min="2565" max="2565" width="12.44140625" style="116" customWidth="1"/>
    <col min="2566" max="2566" width="10.6640625" style="116" customWidth="1"/>
    <col min="2567" max="2567" width="12.6640625" style="116" customWidth="1"/>
    <col min="2568" max="2568" width="9.5546875" style="116" customWidth="1"/>
    <col min="2569" max="2569" width="14" style="116" customWidth="1"/>
    <col min="2570" max="2570" width="25.33203125" style="116" customWidth="1"/>
    <col min="2571" max="2571" width="12.6640625" style="116" customWidth="1"/>
    <col min="2572" max="2572" width="11.6640625" style="116" customWidth="1"/>
    <col min="2573" max="2573" width="12.6640625" style="116" customWidth="1"/>
    <col min="2574" max="2574" width="14" style="116" customWidth="1"/>
    <col min="2575" max="2575" width="15" style="116" customWidth="1"/>
    <col min="2576" max="2816" width="9.33203125" style="116"/>
    <col min="2817" max="2817" width="3.5546875" style="116" customWidth="1"/>
    <col min="2818" max="2818" width="11.44140625" style="116" customWidth="1"/>
    <col min="2819" max="2819" width="11.33203125" style="116" bestFit="1" customWidth="1"/>
    <col min="2820" max="2820" width="12.44140625" style="116" bestFit="1" customWidth="1"/>
    <col min="2821" max="2821" width="12.44140625" style="116" customWidth="1"/>
    <col min="2822" max="2822" width="10.6640625" style="116" customWidth="1"/>
    <col min="2823" max="2823" width="12.6640625" style="116" customWidth="1"/>
    <col min="2824" max="2824" width="9.5546875" style="116" customWidth="1"/>
    <col min="2825" max="2825" width="14" style="116" customWidth="1"/>
    <col min="2826" max="2826" width="25.33203125" style="116" customWidth="1"/>
    <col min="2827" max="2827" width="12.6640625" style="116" customWidth="1"/>
    <col min="2828" max="2828" width="11.6640625" style="116" customWidth="1"/>
    <col min="2829" max="2829" width="12.6640625" style="116" customWidth="1"/>
    <col min="2830" max="2830" width="14" style="116" customWidth="1"/>
    <col min="2831" max="2831" width="15" style="116" customWidth="1"/>
    <col min="2832" max="3072" width="9.33203125" style="116"/>
    <col min="3073" max="3073" width="3.5546875" style="116" customWidth="1"/>
    <col min="3074" max="3074" width="11.44140625" style="116" customWidth="1"/>
    <col min="3075" max="3075" width="11.33203125" style="116" bestFit="1" customWidth="1"/>
    <col min="3076" max="3076" width="12.44140625" style="116" bestFit="1" customWidth="1"/>
    <col min="3077" max="3077" width="12.44140625" style="116" customWidth="1"/>
    <col min="3078" max="3078" width="10.6640625" style="116" customWidth="1"/>
    <col min="3079" max="3079" width="12.6640625" style="116" customWidth="1"/>
    <col min="3080" max="3080" width="9.5546875" style="116" customWidth="1"/>
    <col min="3081" max="3081" width="14" style="116" customWidth="1"/>
    <col min="3082" max="3082" width="25.33203125" style="116" customWidth="1"/>
    <col min="3083" max="3083" width="12.6640625" style="116" customWidth="1"/>
    <col min="3084" max="3084" width="11.6640625" style="116" customWidth="1"/>
    <col min="3085" max="3085" width="12.6640625" style="116" customWidth="1"/>
    <col min="3086" max="3086" width="14" style="116" customWidth="1"/>
    <col min="3087" max="3087" width="15" style="116" customWidth="1"/>
    <col min="3088" max="3328" width="9.33203125" style="116"/>
    <col min="3329" max="3329" width="3.5546875" style="116" customWidth="1"/>
    <col min="3330" max="3330" width="11.44140625" style="116" customWidth="1"/>
    <col min="3331" max="3331" width="11.33203125" style="116" bestFit="1" customWidth="1"/>
    <col min="3332" max="3332" width="12.44140625" style="116" bestFit="1" customWidth="1"/>
    <col min="3333" max="3333" width="12.44140625" style="116" customWidth="1"/>
    <col min="3334" max="3334" width="10.6640625" style="116" customWidth="1"/>
    <col min="3335" max="3335" width="12.6640625" style="116" customWidth="1"/>
    <col min="3336" max="3336" width="9.5546875" style="116" customWidth="1"/>
    <col min="3337" max="3337" width="14" style="116" customWidth="1"/>
    <col min="3338" max="3338" width="25.33203125" style="116" customWidth="1"/>
    <col min="3339" max="3339" width="12.6640625" style="116" customWidth="1"/>
    <col min="3340" max="3340" width="11.6640625" style="116" customWidth="1"/>
    <col min="3341" max="3341" width="12.6640625" style="116" customWidth="1"/>
    <col min="3342" max="3342" width="14" style="116" customWidth="1"/>
    <col min="3343" max="3343" width="15" style="116" customWidth="1"/>
    <col min="3344" max="3584" width="9.33203125" style="116"/>
    <col min="3585" max="3585" width="3.5546875" style="116" customWidth="1"/>
    <col min="3586" max="3586" width="11.44140625" style="116" customWidth="1"/>
    <col min="3587" max="3587" width="11.33203125" style="116" bestFit="1" customWidth="1"/>
    <col min="3588" max="3588" width="12.44140625" style="116" bestFit="1" customWidth="1"/>
    <col min="3589" max="3589" width="12.44140625" style="116" customWidth="1"/>
    <col min="3590" max="3590" width="10.6640625" style="116" customWidth="1"/>
    <col min="3591" max="3591" width="12.6640625" style="116" customWidth="1"/>
    <col min="3592" max="3592" width="9.5546875" style="116" customWidth="1"/>
    <col min="3593" max="3593" width="14" style="116" customWidth="1"/>
    <col min="3594" max="3594" width="25.33203125" style="116" customWidth="1"/>
    <col min="3595" max="3595" width="12.6640625" style="116" customWidth="1"/>
    <col min="3596" max="3596" width="11.6640625" style="116" customWidth="1"/>
    <col min="3597" max="3597" width="12.6640625" style="116" customWidth="1"/>
    <col min="3598" max="3598" width="14" style="116" customWidth="1"/>
    <col min="3599" max="3599" width="15" style="116" customWidth="1"/>
    <col min="3600" max="3840" width="9.33203125" style="116"/>
    <col min="3841" max="3841" width="3.5546875" style="116" customWidth="1"/>
    <col min="3842" max="3842" width="11.44140625" style="116" customWidth="1"/>
    <col min="3843" max="3843" width="11.33203125" style="116" bestFit="1" customWidth="1"/>
    <col min="3844" max="3844" width="12.44140625" style="116" bestFit="1" customWidth="1"/>
    <col min="3845" max="3845" width="12.44140625" style="116" customWidth="1"/>
    <col min="3846" max="3846" width="10.6640625" style="116" customWidth="1"/>
    <col min="3847" max="3847" width="12.6640625" style="116" customWidth="1"/>
    <col min="3848" max="3848" width="9.5546875" style="116" customWidth="1"/>
    <col min="3849" max="3849" width="14" style="116" customWidth="1"/>
    <col min="3850" max="3850" width="25.33203125" style="116" customWidth="1"/>
    <col min="3851" max="3851" width="12.6640625" style="116" customWidth="1"/>
    <col min="3852" max="3852" width="11.6640625" style="116" customWidth="1"/>
    <col min="3853" max="3853" width="12.6640625" style="116" customWidth="1"/>
    <col min="3854" max="3854" width="14" style="116" customWidth="1"/>
    <col min="3855" max="3855" width="15" style="116" customWidth="1"/>
    <col min="3856" max="4096" width="9.33203125" style="116"/>
    <col min="4097" max="4097" width="3.5546875" style="116" customWidth="1"/>
    <col min="4098" max="4098" width="11.44140625" style="116" customWidth="1"/>
    <col min="4099" max="4099" width="11.33203125" style="116" bestFit="1" customWidth="1"/>
    <col min="4100" max="4100" width="12.44140625" style="116" bestFit="1" customWidth="1"/>
    <col min="4101" max="4101" width="12.44140625" style="116" customWidth="1"/>
    <col min="4102" max="4102" width="10.6640625" style="116" customWidth="1"/>
    <col min="4103" max="4103" width="12.6640625" style="116" customWidth="1"/>
    <col min="4104" max="4104" width="9.5546875" style="116" customWidth="1"/>
    <col min="4105" max="4105" width="14" style="116" customWidth="1"/>
    <col min="4106" max="4106" width="25.33203125" style="116" customWidth="1"/>
    <col min="4107" max="4107" width="12.6640625" style="116" customWidth="1"/>
    <col min="4108" max="4108" width="11.6640625" style="116" customWidth="1"/>
    <col min="4109" max="4109" width="12.6640625" style="116" customWidth="1"/>
    <col min="4110" max="4110" width="14" style="116" customWidth="1"/>
    <col min="4111" max="4111" width="15" style="116" customWidth="1"/>
    <col min="4112" max="4352" width="9.33203125" style="116"/>
    <col min="4353" max="4353" width="3.5546875" style="116" customWidth="1"/>
    <col min="4354" max="4354" width="11.44140625" style="116" customWidth="1"/>
    <col min="4355" max="4355" width="11.33203125" style="116" bestFit="1" customWidth="1"/>
    <col min="4356" max="4356" width="12.44140625" style="116" bestFit="1" customWidth="1"/>
    <col min="4357" max="4357" width="12.44140625" style="116" customWidth="1"/>
    <col min="4358" max="4358" width="10.6640625" style="116" customWidth="1"/>
    <col min="4359" max="4359" width="12.6640625" style="116" customWidth="1"/>
    <col min="4360" max="4360" width="9.5546875" style="116" customWidth="1"/>
    <col min="4361" max="4361" width="14" style="116" customWidth="1"/>
    <col min="4362" max="4362" width="25.33203125" style="116" customWidth="1"/>
    <col min="4363" max="4363" width="12.6640625" style="116" customWidth="1"/>
    <col min="4364" max="4364" width="11.6640625" style="116" customWidth="1"/>
    <col min="4365" max="4365" width="12.6640625" style="116" customWidth="1"/>
    <col min="4366" max="4366" width="14" style="116" customWidth="1"/>
    <col min="4367" max="4367" width="15" style="116" customWidth="1"/>
    <col min="4368" max="4608" width="9.33203125" style="116"/>
    <col min="4609" max="4609" width="3.5546875" style="116" customWidth="1"/>
    <col min="4610" max="4610" width="11.44140625" style="116" customWidth="1"/>
    <col min="4611" max="4611" width="11.33203125" style="116" bestFit="1" customWidth="1"/>
    <col min="4612" max="4612" width="12.44140625" style="116" bestFit="1" customWidth="1"/>
    <col min="4613" max="4613" width="12.44140625" style="116" customWidth="1"/>
    <col min="4614" max="4614" width="10.6640625" style="116" customWidth="1"/>
    <col min="4615" max="4615" width="12.6640625" style="116" customWidth="1"/>
    <col min="4616" max="4616" width="9.5546875" style="116" customWidth="1"/>
    <col min="4617" max="4617" width="14" style="116" customWidth="1"/>
    <col min="4618" max="4618" width="25.33203125" style="116" customWidth="1"/>
    <col min="4619" max="4619" width="12.6640625" style="116" customWidth="1"/>
    <col min="4620" max="4620" width="11.6640625" style="116" customWidth="1"/>
    <col min="4621" max="4621" width="12.6640625" style="116" customWidth="1"/>
    <col min="4622" max="4622" width="14" style="116" customWidth="1"/>
    <col min="4623" max="4623" width="15" style="116" customWidth="1"/>
    <col min="4624" max="4864" width="9.33203125" style="116"/>
    <col min="4865" max="4865" width="3.5546875" style="116" customWidth="1"/>
    <col min="4866" max="4866" width="11.44140625" style="116" customWidth="1"/>
    <col min="4867" max="4867" width="11.33203125" style="116" bestFit="1" customWidth="1"/>
    <col min="4868" max="4868" width="12.44140625" style="116" bestFit="1" customWidth="1"/>
    <col min="4869" max="4869" width="12.44140625" style="116" customWidth="1"/>
    <col min="4870" max="4870" width="10.6640625" style="116" customWidth="1"/>
    <col min="4871" max="4871" width="12.6640625" style="116" customWidth="1"/>
    <col min="4872" max="4872" width="9.5546875" style="116" customWidth="1"/>
    <col min="4873" max="4873" width="14" style="116" customWidth="1"/>
    <col min="4874" max="4874" width="25.33203125" style="116" customWidth="1"/>
    <col min="4875" max="4875" width="12.6640625" style="116" customWidth="1"/>
    <col min="4876" max="4876" width="11.6640625" style="116" customWidth="1"/>
    <col min="4877" max="4877" width="12.6640625" style="116" customWidth="1"/>
    <col min="4878" max="4878" width="14" style="116" customWidth="1"/>
    <col min="4879" max="4879" width="15" style="116" customWidth="1"/>
    <col min="4880" max="5120" width="9.33203125" style="116"/>
    <col min="5121" max="5121" width="3.5546875" style="116" customWidth="1"/>
    <col min="5122" max="5122" width="11.44140625" style="116" customWidth="1"/>
    <col min="5123" max="5123" width="11.33203125" style="116" bestFit="1" customWidth="1"/>
    <col min="5124" max="5124" width="12.44140625" style="116" bestFit="1" customWidth="1"/>
    <col min="5125" max="5125" width="12.44140625" style="116" customWidth="1"/>
    <col min="5126" max="5126" width="10.6640625" style="116" customWidth="1"/>
    <col min="5127" max="5127" width="12.6640625" style="116" customWidth="1"/>
    <col min="5128" max="5128" width="9.5546875" style="116" customWidth="1"/>
    <col min="5129" max="5129" width="14" style="116" customWidth="1"/>
    <col min="5130" max="5130" width="25.33203125" style="116" customWidth="1"/>
    <col min="5131" max="5131" width="12.6640625" style="116" customWidth="1"/>
    <col min="5132" max="5132" width="11.6640625" style="116" customWidth="1"/>
    <col min="5133" max="5133" width="12.6640625" style="116" customWidth="1"/>
    <col min="5134" max="5134" width="14" style="116" customWidth="1"/>
    <col min="5135" max="5135" width="15" style="116" customWidth="1"/>
    <col min="5136" max="5376" width="9.33203125" style="116"/>
    <col min="5377" max="5377" width="3.5546875" style="116" customWidth="1"/>
    <col min="5378" max="5378" width="11.44140625" style="116" customWidth="1"/>
    <col min="5379" max="5379" width="11.33203125" style="116" bestFit="1" customWidth="1"/>
    <col min="5380" max="5380" width="12.44140625" style="116" bestFit="1" customWidth="1"/>
    <col min="5381" max="5381" width="12.44140625" style="116" customWidth="1"/>
    <col min="5382" max="5382" width="10.6640625" style="116" customWidth="1"/>
    <col min="5383" max="5383" width="12.6640625" style="116" customWidth="1"/>
    <col min="5384" max="5384" width="9.5546875" style="116" customWidth="1"/>
    <col min="5385" max="5385" width="14" style="116" customWidth="1"/>
    <col min="5386" max="5386" width="25.33203125" style="116" customWidth="1"/>
    <col min="5387" max="5387" width="12.6640625" style="116" customWidth="1"/>
    <col min="5388" max="5388" width="11.6640625" style="116" customWidth="1"/>
    <col min="5389" max="5389" width="12.6640625" style="116" customWidth="1"/>
    <col min="5390" max="5390" width="14" style="116" customWidth="1"/>
    <col min="5391" max="5391" width="15" style="116" customWidth="1"/>
    <col min="5392" max="5632" width="9.33203125" style="116"/>
    <col min="5633" max="5633" width="3.5546875" style="116" customWidth="1"/>
    <col min="5634" max="5634" width="11.44140625" style="116" customWidth="1"/>
    <col min="5635" max="5635" width="11.33203125" style="116" bestFit="1" customWidth="1"/>
    <col min="5636" max="5636" width="12.44140625" style="116" bestFit="1" customWidth="1"/>
    <col min="5637" max="5637" width="12.44140625" style="116" customWidth="1"/>
    <col min="5638" max="5638" width="10.6640625" style="116" customWidth="1"/>
    <col min="5639" max="5639" width="12.6640625" style="116" customWidth="1"/>
    <col min="5640" max="5640" width="9.5546875" style="116" customWidth="1"/>
    <col min="5641" max="5641" width="14" style="116" customWidth="1"/>
    <col min="5642" max="5642" width="25.33203125" style="116" customWidth="1"/>
    <col min="5643" max="5643" width="12.6640625" style="116" customWidth="1"/>
    <col min="5644" max="5644" width="11.6640625" style="116" customWidth="1"/>
    <col min="5645" max="5645" width="12.6640625" style="116" customWidth="1"/>
    <col min="5646" max="5646" width="14" style="116" customWidth="1"/>
    <col min="5647" max="5647" width="15" style="116" customWidth="1"/>
    <col min="5648" max="5888" width="9.33203125" style="116"/>
    <col min="5889" max="5889" width="3.5546875" style="116" customWidth="1"/>
    <col min="5890" max="5890" width="11.44140625" style="116" customWidth="1"/>
    <col min="5891" max="5891" width="11.33203125" style="116" bestFit="1" customWidth="1"/>
    <col min="5892" max="5892" width="12.44140625" style="116" bestFit="1" customWidth="1"/>
    <col min="5893" max="5893" width="12.44140625" style="116" customWidth="1"/>
    <col min="5894" max="5894" width="10.6640625" style="116" customWidth="1"/>
    <col min="5895" max="5895" width="12.6640625" style="116" customWidth="1"/>
    <col min="5896" max="5896" width="9.5546875" style="116" customWidth="1"/>
    <col min="5897" max="5897" width="14" style="116" customWidth="1"/>
    <col min="5898" max="5898" width="25.33203125" style="116" customWidth="1"/>
    <col min="5899" max="5899" width="12.6640625" style="116" customWidth="1"/>
    <col min="5900" max="5900" width="11.6640625" style="116" customWidth="1"/>
    <col min="5901" max="5901" width="12.6640625" style="116" customWidth="1"/>
    <col min="5902" max="5902" width="14" style="116" customWidth="1"/>
    <col min="5903" max="5903" width="15" style="116" customWidth="1"/>
    <col min="5904" max="6144" width="9.33203125" style="116"/>
    <col min="6145" max="6145" width="3.5546875" style="116" customWidth="1"/>
    <col min="6146" max="6146" width="11.44140625" style="116" customWidth="1"/>
    <col min="6147" max="6147" width="11.33203125" style="116" bestFit="1" customWidth="1"/>
    <col min="6148" max="6148" width="12.44140625" style="116" bestFit="1" customWidth="1"/>
    <col min="6149" max="6149" width="12.44140625" style="116" customWidth="1"/>
    <col min="6150" max="6150" width="10.6640625" style="116" customWidth="1"/>
    <col min="6151" max="6151" width="12.6640625" style="116" customWidth="1"/>
    <col min="6152" max="6152" width="9.5546875" style="116" customWidth="1"/>
    <col min="6153" max="6153" width="14" style="116" customWidth="1"/>
    <col min="6154" max="6154" width="25.33203125" style="116" customWidth="1"/>
    <col min="6155" max="6155" width="12.6640625" style="116" customWidth="1"/>
    <col min="6156" max="6156" width="11.6640625" style="116" customWidth="1"/>
    <col min="6157" max="6157" width="12.6640625" style="116" customWidth="1"/>
    <col min="6158" max="6158" width="14" style="116" customWidth="1"/>
    <col min="6159" max="6159" width="15" style="116" customWidth="1"/>
    <col min="6160" max="6400" width="9.33203125" style="116"/>
    <col min="6401" max="6401" width="3.5546875" style="116" customWidth="1"/>
    <col min="6402" max="6402" width="11.44140625" style="116" customWidth="1"/>
    <col min="6403" max="6403" width="11.33203125" style="116" bestFit="1" customWidth="1"/>
    <col min="6404" max="6404" width="12.44140625" style="116" bestFit="1" customWidth="1"/>
    <col min="6405" max="6405" width="12.44140625" style="116" customWidth="1"/>
    <col min="6406" max="6406" width="10.6640625" style="116" customWidth="1"/>
    <col min="6407" max="6407" width="12.6640625" style="116" customWidth="1"/>
    <col min="6408" max="6408" width="9.5546875" style="116" customWidth="1"/>
    <col min="6409" max="6409" width="14" style="116" customWidth="1"/>
    <col min="6410" max="6410" width="25.33203125" style="116" customWidth="1"/>
    <col min="6411" max="6411" width="12.6640625" style="116" customWidth="1"/>
    <col min="6412" max="6412" width="11.6640625" style="116" customWidth="1"/>
    <col min="6413" max="6413" width="12.6640625" style="116" customWidth="1"/>
    <col min="6414" max="6414" width="14" style="116" customWidth="1"/>
    <col min="6415" max="6415" width="15" style="116" customWidth="1"/>
    <col min="6416" max="6656" width="9.33203125" style="116"/>
    <col min="6657" max="6657" width="3.5546875" style="116" customWidth="1"/>
    <col min="6658" max="6658" width="11.44140625" style="116" customWidth="1"/>
    <col min="6659" max="6659" width="11.33203125" style="116" bestFit="1" customWidth="1"/>
    <col min="6660" max="6660" width="12.44140625" style="116" bestFit="1" customWidth="1"/>
    <col min="6661" max="6661" width="12.44140625" style="116" customWidth="1"/>
    <col min="6662" max="6662" width="10.6640625" style="116" customWidth="1"/>
    <col min="6663" max="6663" width="12.6640625" style="116" customWidth="1"/>
    <col min="6664" max="6664" width="9.5546875" style="116" customWidth="1"/>
    <col min="6665" max="6665" width="14" style="116" customWidth="1"/>
    <col min="6666" max="6666" width="25.33203125" style="116" customWidth="1"/>
    <col min="6667" max="6667" width="12.6640625" style="116" customWidth="1"/>
    <col min="6668" max="6668" width="11.6640625" style="116" customWidth="1"/>
    <col min="6669" max="6669" width="12.6640625" style="116" customWidth="1"/>
    <col min="6670" max="6670" width="14" style="116" customWidth="1"/>
    <col min="6671" max="6671" width="15" style="116" customWidth="1"/>
    <col min="6672" max="6912" width="9.33203125" style="116"/>
    <col min="6913" max="6913" width="3.5546875" style="116" customWidth="1"/>
    <col min="6914" max="6914" width="11.44140625" style="116" customWidth="1"/>
    <col min="6915" max="6915" width="11.33203125" style="116" bestFit="1" customWidth="1"/>
    <col min="6916" max="6916" width="12.44140625" style="116" bestFit="1" customWidth="1"/>
    <col min="6917" max="6917" width="12.44140625" style="116" customWidth="1"/>
    <col min="6918" max="6918" width="10.6640625" style="116" customWidth="1"/>
    <col min="6919" max="6919" width="12.6640625" style="116" customWidth="1"/>
    <col min="6920" max="6920" width="9.5546875" style="116" customWidth="1"/>
    <col min="6921" max="6921" width="14" style="116" customWidth="1"/>
    <col min="6922" max="6922" width="25.33203125" style="116" customWidth="1"/>
    <col min="6923" max="6923" width="12.6640625" style="116" customWidth="1"/>
    <col min="6924" max="6924" width="11.6640625" style="116" customWidth="1"/>
    <col min="6925" max="6925" width="12.6640625" style="116" customWidth="1"/>
    <col min="6926" max="6926" width="14" style="116" customWidth="1"/>
    <col min="6927" max="6927" width="15" style="116" customWidth="1"/>
    <col min="6928" max="7168" width="9.33203125" style="116"/>
    <col min="7169" max="7169" width="3.5546875" style="116" customWidth="1"/>
    <col min="7170" max="7170" width="11.44140625" style="116" customWidth="1"/>
    <col min="7171" max="7171" width="11.33203125" style="116" bestFit="1" customWidth="1"/>
    <col min="7172" max="7172" width="12.44140625" style="116" bestFit="1" customWidth="1"/>
    <col min="7173" max="7173" width="12.44140625" style="116" customWidth="1"/>
    <col min="7174" max="7174" width="10.6640625" style="116" customWidth="1"/>
    <col min="7175" max="7175" width="12.6640625" style="116" customWidth="1"/>
    <col min="7176" max="7176" width="9.5546875" style="116" customWidth="1"/>
    <col min="7177" max="7177" width="14" style="116" customWidth="1"/>
    <col min="7178" max="7178" width="25.33203125" style="116" customWidth="1"/>
    <col min="7179" max="7179" width="12.6640625" style="116" customWidth="1"/>
    <col min="7180" max="7180" width="11.6640625" style="116" customWidth="1"/>
    <col min="7181" max="7181" width="12.6640625" style="116" customWidth="1"/>
    <col min="7182" max="7182" width="14" style="116" customWidth="1"/>
    <col min="7183" max="7183" width="15" style="116" customWidth="1"/>
    <col min="7184" max="7424" width="9.33203125" style="116"/>
    <col min="7425" max="7425" width="3.5546875" style="116" customWidth="1"/>
    <col min="7426" max="7426" width="11.44140625" style="116" customWidth="1"/>
    <col min="7427" max="7427" width="11.33203125" style="116" bestFit="1" customWidth="1"/>
    <col min="7428" max="7428" width="12.44140625" style="116" bestFit="1" customWidth="1"/>
    <col min="7429" max="7429" width="12.44140625" style="116" customWidth="1"/>
    <col min="7430" max="7430" width="10.6640625" style="116" customWidth="1"/>
    <col min="7431" max="7431" width="12.6640625" style="116" customWidth="1"/>
    <col min="7432" max="7432" width="9.5546875" style="116" customWidth="1"/>
    <col min="7433" max="7433" width="14" style="116" customWidth="1"/>
    <col min="7434" max="7434" width="25.33203125" style="116" customWidth="1"/>
    <col min="7435" max="7435" width="12.6640625" style="116" customWidth="1"/>
    <col min="7436" max="7436" width="11.6640625" style="116" customWidth="1"/>
    <col min="7437" max="7437" width="12.6640625" style="116" customWidth="1"/>
    <col min="7438" max="7438" width="14" style="116" customWidth="1"/>
    <col min="7439" max="7439" width="15" style="116" customWidth="1"/>
    <col min="7440" max="7680" width="9.33203125" style="116"/>
    <col min="7681" max="7681" width="3.5546875" style="116" customWidth="1"/>
    <col min="7682" max="7682" width="11.44140625" style="116" customWidth="1"/>
    <col min="7683" max="7683" width="11.33203125" style="116" bestFit="1" customWidth="1"/>
    <col min="7684" max="7684" width="12.44140625" style="116" bestFit="1" customWidth="1"/>
    <col min="7685" max="7685" width="12.44140625" style="116" customWidth="1"/>
    <col min="7686" max="7686" width="10.6640625" style="116" customWidth="1"/>
    <col min="7687" max="7687" width="12.6640625" style="116" customWidth="1"/>
    <col min="7688" max="7688" width="9.5546875" style="116" customWidth="1"/>
    <col min="7689" max="7689" width="14" style="116" customWidth="1"/>
    <col min="7690" max="7690" width="25.33203125" style="116" customWidth="1"/>
    <col min="7691" max="7691" width="12.6640625" style="116" customWidth="1"/>
    <col min="7692" max="7692" width="11.6640625" style="116" customWidth="1"/>
    <col min="7693" max="7693" width="12.6640625" style="116" customWidth="1"/>
    <col min="7694" max="7694" width="14" style="116" customWidth="1"/>
    <col min="7695" max="7695" width="15" style="116" customWidth="1"/>
    <col min="7696" max="7936" width="9.33203125" style="116"/>
    <col min="7937" max="7937" width="3.5546875" style="116" customWidth="1"/>
    <col min="7938" max="7938" width="11.44140625" style="116" customWidth="1"/>
    <col min="7939" max="7939" width="11.33203125" style="116" bestFit="1" customWidth="1"/>
    <col min="7940" max="7940" width="12.44140625" style="116" bestFit="1" customWidth="1"/>
    <col min="7941" max="7941" width="12.44140625" style="116" customWidth="1"/>
    <col min="7942" max="7942" width="10.6640625" style="116" customWidth="1"/>
    <col min="7943" max="7943" width="12.6640625" style="116" customWidth="1"/>
    <col min="7944" max="7944" width="9.5546875" style="116" customWidth="1"/>
    <col min="7945" max="7945" width="14" style="116" customWidth="1"/>
    <col min="7946" max="7946" width="25.33203125" style="116" customWidth="1"/>
    <col min="7947" max="7947" width="12.6640625" style="116" customWidth="1"/>
    <col min="7948" max="7948" width="11.6640625" style="116" customWidth="1"/>
    <col min="7949" max="7949" width="12.6640625" style="116" customWidth="1"/>
    <col min="7950" max="7950" width="14" style="116" customWidth="1"/>
    <col min="7951" max="7951" width="15" style="116" customWidth="1"/>
    <col min="7952" max="8192" width="9.33203125" style="116"/>
    <col min="8193" max="8193" width="3.5546875" style="116" customWidth="1"/>
    <col min="8194" max="8194" width="11.44140625" style="116" customWidth="1"/>
    <col min="8195" max="8195" width="11.33203125" style="116" bestFit="1" customWidth="1"/>
    <col min="8196" max="8196" width="12.44140625" style="116" bestFit="1" customWidth="1"/>
    <col min="8197" max="8197" width="12.44140625" style="116" customWidth="1"/>
    <col min="8198" max="8198" width="10.6640625" style="116" customWidth="1"/>
    <col min="8199" max="8199" width="12.6640625" style="116" customWidth="1"/>
    <col min="8200" max="8200" width="9.5546875" style="116" customWidth="1"/>
    <col min="8201" max="8201" width="14" style="116" customWidth="1"/>
    <col min="8202" max="8202" width="25.33203125" style="116" customWidth="1"/>
    <col min="8203" max="8203" width="12.6640625" style="116" customWidth="1"/>
    <col min="8204" max="8204" width="11.6640625" style="116" customWidth="1"/>
    <col min="8205" max="8205" width="12.6640625" style="116" customWidth="1"/>
    <col min="8206" max="8206" width="14" style="116" customWidth="1"/>
    <col min="8207" max="8207" width="15" style="116" customWidth="1"/>
    <col min="8208" max="8448" width="9.33203125" style="116"/>
    <col min="8449" max="8449" width="3.5546875" style="116" customWidth="1"/>
    <col min="8450" max="8450" width="11.44140625" style="116" customWidth="1"/>
    <col min="8451" max="8451" width="11.33203125" style="116" bestFit="1" customWidth="1"/>
    <col min="8452" max="8452" width="12.44140625" style="116" bestFit="1" customWidth="1"/>
    <col min="8453" max="8453" width="12.44140625" style="116" customWidth="1"/>
    <col min="8454" max="8454" width="10.6640625" style="116" customWidth="1"/>
    <col min="8455" max="8455" width="12.6640625" style="116" customWidth="1"/>
    <col min="8456" max="8456" width="9.5546875" style="116" customWidth="1"/>
    <col min="8457" max="8457" width="14" style="116" customWidth="1"/>
    <col min="8458" max="8458" width="25.33203125" style="116" customWidth="1"/>
    <col min="8459" max="8459" width="12.6640625" style="116" customWidth="1"/>
    <col min="8460" max="8460" width="11.6640625" style="116" customWidth="1"/>
    <col min="8461" max="8461" width="12.6640625" style="116" customWidth="1"/>
    <col min="8462" max="8462" width="14" style="116" customWidth="1"/>
    <col min="8463" max="8463" width="15" style="116" customWidth="1"/>
    <col min="8464" max="8704" width="9.33203125" style="116"/>
    <col min="8705" max="8705" width="3.5546875" style="116" customWidth="1"/>
    <col min="8706" max="8706" width="11.44140625" style="116" customWidth="1"/>
    <col min="8707" max="8707" width="11.33203125" style="116" bestFit="1" customWidth="1"/>
    <col min="8708" max="8708" width="12.44140625" style="116" bestFit="1" customWidth="1"/>
    <col min="8709" max="8709" width="12.44140625" style="116" customWidth="1"/>
    <col min="8710" max="8710" width="10.6640625" style="116" customWidth="1"/>
    <col min="8711" max="8711" width="12.6640625" style="116" customWidth="1"/>
    <col min="8712" max="8712" width="9.5546875" style="116" customWidth="1"/>
    <col min="8713" max="8713" width="14" style="116" customWidth="1"/>
    <col min="8714" max="8714" width="25.33203125" style="116" customWidth="1"/>
    <col min="8715" max="8715" width="12.6640625" style="116" customWidth="1"/>
    <col min="8716" max="8716" width="11.6640625" style="116" customWidth="1"/>
    <col min="8717" max="8717" width="12.6640625" style="116" customWidth="1"/>
    <col min="8718" max="8718" width="14" style="116" customWidth="1"/>
    <col min="8719" max="8719" width="15" style="116" customWidth="1"/>
    <col min="8720" max="8960" width="9.33203125" style="116"/>
    <col min="8961" max="8961" width="3.5546875" style="116" customWidth="1"/>
    <col min="8962" max="8962" width="11.44140625" style="116" customWidth="1"/>
    <col min="8963" max="8963" width="11.33203125" style="116" bestFit="1" customWidth="1"/>
    <col min="8964" max="8964" width="12.44140625" style="116" bestFit="1" customWidth="1"/>
    <col min="8965" max="8965" width="12.44140625" style="116" customWidth="1"/>
    <col min="8966" max="8966" width="10.6640625" style="116" customWidth="1"/>
    <col min="8967" max="8967" width="12.6640625" style="116" customWidth="1"/>
    <col min="8968" max="8968" width="9.5546875" style="116" customWidth="1"/>
    <col min="8969" max="8969" width="14" style="116" customWidth="1"/>
    <col min="8970" max="8970" width="25.33203125" style="116" customWidth="1"/>
    <col min="8971" max="8971" width="12.6640625" style="116" customWidth="1"/>
    <col min="8972" max="8972" width="11.6640625" style="116" customWidth="1"/>
    <col min="8973" max="8973" width="12.6640625" style="116" customWidth="1"/>
    <col min="8974" max="8974" width="14" style="116" customWidth="1"/>
    <col min="8975" max="8975" width="15" style="116" customWidth="1"/>
    <col min="8976" max="9216" width="9.33203125" style="116"/>
    <col min="9217" max="9217" width="3.5546875" style="116" customWidth="1"/>
    <col min="9218" max="9218" width="11.44140625" style="116" customWidth="1"/>
    <col min="9219" max="9219" width="11.33203125" style="116" bestFit="1" customWidth="1"/>
    <col min="9220" max="9220" width="12.44140625" style="116" bestFit="1" customWidth="1"/>
    <col min="9221" max="9221" width="12.44140625" style="116" customWidth="1"/>
    <col min="9222" max="9222" width="10.6640625" style="116" customWidth="1"/>
    <col min="9223" max="9223" width="12.6640625" style="116" customWidth="1"/>
    <col min="9224" max="9224" width="9.5546875" style="116" customWidth="1"/>
    <col min="9225" max="9225" width="14" style="116" customWidth="1"/>
    <col min="9226" max="9226" width="25.33203125" style="116" customWidth="1"/>
    <col min="9227" max="9227" width="12.6640625" style="116" customWidth="1"/>
    <col min="9228" max="9228" width="11.6640625" style="116" customWidth="1"/>
    <col min="9229" max="9229" width="12.6640625" style="116" customWidth="1"/>
    <col min="9230" max="9230" width="14" style="116" customWidth="1"/>
    <col min="9231" max="9231" width="15" style="116" customWidth="1"/>
    <col min="9232" max="9472" width="9.33203125" style="116"/>
    <col min="9473" max="9473" width="3.5546875" style="116" customWidth="1"/>
    <col min="9474" max="9474" width="11.44140625" style="116" customWidth="1"/>
    <col min="9475" max="9475" width="11.33203125" style="116" bestFit="1" customWidth="1"/>
    <col min="9476" max="9476" width="12.44140625" style="116" bestFit="1" customWidth="1"/>
    <col min="9477" max="9477" width="12.44140625" style="116" customWidth="1"/>
    <col min="9478" max="9478" width="10.6640625" style="116" customWidth="1"/>
    <col min="9479" max="9479" width="12.6640625" style="116" customWidth="1"/>
    <col min="9480" max="9480" width="9.5546875" style="116" customWidth="1"/>
    <col min="9481" max="9481" width="14" style="116" customWidth="1"/>
    <col min="9482" max="9482" width="25.33203125" style="116" customWidth="1"/>
    <col min="9483" max="9483" width="12.6640625" style="116" customWidth="1"/>
    <col min="9484" max="9484" width="11.6640625" style="116" customWidth="1"/>
    <col min="9485" max="9485" width="12.6640625" style="116" customWidth="1"/>
    <col min="9486" max="9486" width="14" style="116" customWidth="1"/>
    <col min="9487" max="9487" width="15" style="116" customWidth="1"/>
    <col min="9488" max="9728" width="9.33203125" style="116"/>
    <col min="9729" max="9729" width="3.5546875" style="116" customWidth="1"/>
    <col min="9730" max="9730" width="11.44140625" style="116" customWidth="1"/>
    <col min="9731" max="9731" width="11.33203125" style="116" bestFit="1" customWidth="1"/>
    <col min="9732" max="9732" width="12.44140625" style="116" bestFit="1" customWidth="1"/>
    <col min="9733" max="9733" width="12.44140625" style="116" customWidth="1"/>
    <col min="9734" max="9734" width="10.6640625" style="116" customWidth="1"/>
    <col min="9735" max="9735" width="12.6640625" style="116" customWidth="1"/>
    <col min="9736" max="9736" width="9.5546875" style="116" customWidth="1"/>
    <col min="9737" max="9737" width="14" style="116" customWidth="1"/>
    <col min="9738" max="9738" width="25.33203125" style="116" customWidth="1"/>
    <col min="9739" max="9739" width="12.6640625" style="116" customWidth="1"/>
    <col min="9740" max="9740" width="11.6640625" style="116" customWidth="1"/>
    <col min="9741" max="9741" width="12.6640625" style="116" customWidth="1"/>
    <col min="9742" max="9742" width="14" style="116" customWidth="1"/>
    <col min="9743" max="9743" width="15" style="116" customWidth="1"/>
    <col min="9744" max="9984" width="9.33203125" style="116"/>
    <col min="9985" max="9985" width="3.5546875" style="116" customWidth="1"/>
    <col min="9986" max="9986" width="11.44140625" style="116" customWidth="1"/>
    <col min="9987" max="9987" width="11.33203125" style="116" bestFit="1" customWidth="1"/>
    <col min="9988" max="9988" width="12.44140625" style="116" bestFit="1" customWidth="1"/>
    <col min="9989" max="9989" width="12.44140625" style="116" customWidth="1"/>
    <col min="9990" max="9990" width="10.6640625" style="116" customWidth="1"/>
    <col min="9991" max="9991" width="12.6640625" style="116" customWidth="1"/>
    <col min="9992" max="9992" width="9.5546875" style="116" customWidth="1"/>
    <col min="9993" max="9993" width="14" style="116" customWidth="1"/>
    <col min="9994" max="9994" width="25.33203125" style="116" customWidth="1"/>
    <col min="9995" max="9995" width="12.6640625" style="116" customWidth="1"/>
    <col min="9996" max="9996" width="11.6640625" style="116" customWidth="1"/>
    <col min="9997" max="9997" width="12.6640625" style="116" customWidth="1"/>
    <col min="9998" max="9998" width="14" style="116" customWidth="1"/>
    <col min="9999" max="9999" width="15" style="116" customWidth="1"/>
    <col min="10000" max="10240" width="9.33203125" style="116"/>
    <col min="10241" max="10241" width="3.5546875" style="116" customWidth="1"/>
    <col min="10242" max="10242" width="11.44140625" style="116" customWidth="1"/>
    <col min="10243" max="10243" width="11.33203125" style="116" bestFit="1" customWidth="1"/>
    <col min="10244" max="10244" width="12.44140625" style="116" bestFit="1" customWidth="1"/>
    <col min="10245" max="10245" width="12.44140625" style="116" customWidth="1"/>
    <col min="10246" max="10246" width="10.6640625" style="116" customWidth="1"/>
    <col min="10247" max="10247" width="12.6640625" style="116" customWidth="1"/>
    <col min="10248" max="10248" width="9.5546875" style="116" customWidth="1"/>
    <col min="10249" max="10249" width="14" style="116" customWidth="1"/>
    <col min="10250" max="10250" width="25.33203125" style="116" customWidth="1"/>
    <col min="10251" max="10251" width="12.6640625" style="116" customWidth="1"/>
    <col min="10252" max="10252" width="11.6640625" style="116" customWidth="1"/>
    <col min="10253" max="10253" width="12.6640625" style="116" customWidth="1"/>
    <col min="10254" max="10254" width="14" style="116" customWidth="1"/>
    <col min="10255" max="10255" width="15" style="116" customWidth="1"/>
    <col min="10256" max="10496" width="9.33203125" style="116"/>
    <col min="10497" max="10497" width="3.5546875" style="116" customWidth="1"/>
    <col min="10498" max="10498" width="11.44140625" style="116" customWidth="1"/>
    <col min="10499" max="10499" width="11.33203125" style="116" bestFit="1" customWidth="1"/>
    <col min="10500" max="10500" width="12.44140625" style="116" bestFit="1" customWidth="1"/>
    <col min="10501" max="10501" width="12.44140625" style="116" customWidth="1"/>
    <col min="10502" max="10502" width="10.6640625" style="116" customWidth="1"/>
    <col min="10503" max="10503" width="12.6640625" style="116" customWidth="1"/>
    <col min="10504" max="10504" width="9.5546875" style="116" customWidth="1"/>
    <col min="10505" max="10505" width="14" style="116" customWidth="1"/>
    <col min="10506" max="10506" width="25.33203125" style="116" customWidth="1"/>
    <col min="10507" max="10507" width="12.6640625" style="116" customWidth="1"/>
    <col min="10508" max="10508" width="11.6640625" style="116" customWidth="1"/>
    <col min="10509" max="10509" width="12.6640625" style="116" customWidth="1"/>
    <col min="10510" max="10510" width="14" style="116" customWidth="1"/>
    <col min="10511" max="10511" width="15" style="116" customWidth="1"/>
    <col min="10512" max="10752" width="9.33203125" style="116"/>
    <col min="10753" max="10753" width="3.5546875" style="116" customWidth="1"/>
    <col min="10754" max="10754" width="11.44140625" style="116" customWidth="1"/>
    <col min="10755" max="10755" width="11.33203125" style="116" bestFit="1" customWidth="1"/>
    <col min="10756" max="10756" width="12.44140625" style="116" bestFit="1" customWidth="1"/>
    <col min="10757" max="10757" width="12.44140625" style="116" customWidth="1"/>
    <col min="10758" max="10758" width="10.6640625" style="116" customWidth="1"/>
    <col min="10759" max="10759" width="12.6640625" style="116" customWidth="1"/>
    <col min="10760" max="10760" width="9.5546875" style="116" customWidth="1"/>
    <col min="10761" max="10761" width="14" style="116" customWidth="1"/>
    <col min="10762" max="10762" width="25.33203125" style="116" customWidth="1"/>
    <col min="10763" max="10763" width="12.6640625" style="116" customWidth="1"/>
    <col min="10764" max="10764" width="11.6640625" style="116" customWidth="1"/>
    <col min="10765" max="10765" width="12.6640625" style="116" customWidth="1"/>
    <col min="10766" max="10766" width="14" style="116" customWidth="1"/>
    <col min="10767" max="10767" width="15" style="116" customWidth="1"/>
    <col min="10768" max="11008" width="9.33203125" style="116"/>
    <col min="11009" max="11009" width="3.5546875" style="116" customWidth="1"/>
    <col min="11010" max="11010" width="11.44140625" style="116" customWidth="1"/>
    <col min="11011" max="11011" width="11.33203125" style="116" bestFit="1" customWidth="1"/>
    <col min="11012" max="11012" width="12.44140625" style="116" bestFit="1" customWidth="1"/>
    <col min="11013" max="11013" width="12.44140625" style="116" customWidth="1"/>
    <col min="11014" max="11014" width="10.6640625" style="116" customWidth="1"/>
    <col min="11015" max="11015" width="12.6640625" style="116" customWidth="1"/>
    <col min="11016" max="11016" width="9.5546875" style="116" customWidth="1"/>
    <col min="11017" max="11017" width="14" style="116" customWidth="1"/>
    <col min="11018" max="11018" width="25.33203125" style="116" customWidth="1"/>
    <col min="11019" max="11019" width="12.6640625" style="116" customWidth="1"/>
    <col min="11020" max="11020" width="11.6640625" style="116" customWidth="1"/>
    <col min="11021" max="11021" width="12.6640625" style="116" customWidth="1"/>
    <col min="11022" max="11022" width="14" style="116" customWidth="1"/>
    <col min="11023" max="11023" width="15" style="116" customWidth="1"/>
    <col min="11024" max="11264" width="9.33203125" style="116"/>
    <col min="11265" max="11265" width="3.5546875" style="116" customWidth="1"/>
    <col min="11266" max="11266" width="11.44140625" style="116" customWidth="1"/>
    <col min="11267" max="11267" width="11.33203125" style="116" bestFit="1" customWidth="1"/>
    <col min="11268" max="11268" width="12.44140625" style="116" bestFit="1" customWidth="1"/>
    <col min="11269" max="11269" width="12.44140625" style="116" customWidth="1"/>
    <col min="11270" max="11270" width="10.6640625" style="116" customWidth="1"/>
    <col min="11271" max="11271" width="12.6640625" style="116" customWidth="1"/>
    <col min="11272" max="11272" width="9.5546875" style="116" customWidth="1"/>
    <col min="11273" max="11273" width="14" style="116" customWidth="1"/>
    <col min="11274" max="11274" width="25.33203125" style="116" customWidth="1"/>
    <col min="11275" max="11275" width="12.6640625" style="116" customWidth="1"/>
    <col min="11276" max="11276" width="11.6640625" style="116" customWidth="1"/>
    <col min="11277" max="11277" width="12.6640625" style="116" customWidth="1"/>
    <col min="11278" max="11278" width="14" style="116" customWidth="1"/>
    <col min="11279" max="11279" width="15" style="116" customWidth="1"/>
    <col min="11280" max="11520" width="9.33203125" style="116"/>
    <col min="11521" max="11521" width="3.5546875" style="116" customWidth="1"/>
    <col min="11522" max="11522" width="11.44140625" style="116" customWidth="1"/>
    <col min="11523" max="11523" width="11.33203125" style="116" bestFit="1" customWidth="1"/>
    <col min="11524" max="11524" width="12.44140625" style="116" bestFit="1" customWidth="1"/>
    <col min="11525" max="11525" width="12.44140625" style="116" customWidth="1"/>
    <col min="11526" max="11526" width="10.6640625" style="116" customWidth="1"/>
    <col min="11527" max="11527" width="12.6640625" style="116" customWidth="1"/>
    <col min="11528" max="11528" width="9.5546875" style="116" customWidth="1"/>
    <col min="11529" max="11529" width="14" style="116" customWidth="1"/>
    <col min="11530" max="11530" width="25.33203125" style="116" customWidth="1"/>
    <col min="11531" max="11531" width="12.6640625" style="116" customWidth="1"/>
    <col min="11532" max="11532" width="11.6640625" style="116" customWidth="1"/>
    <col min="11533" max="11533" width="12.6640625" style="116" customWidth="1"/>
    <col min="11534" max="11534" width="14" style="116" customWidth="1"/>
    <col min="11535" max="11535" width="15" style="116" customWidth="1"/>
    <col min="11536" max="11776" width="9.33203125" style="116"/>
    <col min="11777" max="11777" width="3.5546875" style="116" customWidth="1"/>
    <col min="11778" max="11778" width="11.44140625" style="116" customWidth="1"/>
    <col min="11779" max="11779" width="11.33203125" style="116" bestFit="1" customWidth="1"/>
    <col min="11780" max="11780" width="12.44140625" style="116" bestFit="1" customWidth="1"/>
    <col min="11781" max="11781" width="12.44140625" style="116" customWidth="1"/>
    <col min="11782" max="11782" width="10.6640625" style="116" customWidth="1"/>
    <col min="11783" max="11783" width="12.6640625" style="116" customWidth="1"/>
    <col min="11784" max="11784" width="9.5546875" style="116" customWidth="1"/>
    <col min="11785" max="11785" width="14" style="116" customWidth="1"/>
    <col min="11786" max="11786" width="25.33203125" style="116" customWidth="1"/>
    <col min="11787" max="11787" width="12.6640625" style="116" customWidth="1"/>
    <col min="11788" max="11788" width="11.6640625" style="116" customWidth="1"/>
    <col min="11789" max="11789" width="12.6640625" style="116" customWidth="1"/>
    <col min="11790" max="11790" width="14" style="116" customWidth="1"/>
    <col min="11791" max="11791" width="15" style="116" customWidth="1"/>
    <col min="11792" max="12032" width="9.33203125" style="116"/>
    <col min="12033" max="12033" width="3.5546875" style="116" customWidth="1"/>
    <col min="12034" max="12034" width="11.44140625" style="116" customWidth="1"/>
    <col min="12035" max="12035" width="11.33203125" style="116" bestFit="1" customWidth="1"/>
    <col min="12036" max="12036" width="12.44140625" style="116" bestFit="1" customWidth="1"/>
    <col min="12037" max="12037" width="12.44140625" style="116" customWidth="1"/>
    <col min="12038" max="12038" width="10.6640625" style="116" customWidth="1"/>
    <col min="12039" max="12039" width="12.6640625" style="116" customWidth="1"/>
    <col min="12040" max="12040" width="9.5546875" style="116" customWidth="1"/>
    <col min="12041" max="12041" width="14" style="116" customWidth="1"/>
    <col min="12042" max="12042" width="25.33203125" style="116" customWidth="1"/>
    <col min="12043" max="12043" width="12.6640625" style="116" customWidth="1"/>
    <col min="12044" max="12044" width="11.6640625" style="116" customWidth="1"/>
    <col min="12045" max="12045" width="12.6640625" style="116" customWidth="1"/>
    <col min="12046" max="12046" width="14" style="116" customWidth="1"/>
    <col min="12047" max="12047" width="15" style="116" customWidth="1"/>
    <col min="12048" max="12288" width="9.33203125" style="116"/>
    <col min="12289" max="12289" width="3.5546875" style="116" customWidth="1"/>
    <col min="12290" max="12290" width="11.44140625" style="116" customWidth="1"/>
    <col min="12291" max="12291" width="11.33203125" style="116" bestFit="1" customWidth="1"/>
    <col min="12292" max="12292" width="12.44140625" style="116" bestFit="1" customWidth="1"/>
    <col min="12293" max="12293" width="12.44140625" style="116" customWidth="1"/>
    <col min="12294" max="12294" width="10.6640625" style="116" customWidth="1"/>
    <col min="12295" max="12295" width="12.6640625" style="116" customWidth="1"/>
    <col min="12296" max="12296" width="9.5546875" style="116" customWidth="1"/>
    <col min="12297" max="12297" width="14" style="116" customWidth="1"/>
    <col min="12298" max="12298" width="25.33203125" style="116" customWidth="1"/>
    <col min="12299" max="12299" width="12.6640625" style="116" customWidth="1"/>
    <col min="12300" max="12300" width="11.6640625" style="116" customWidth="1"/>
    <col min="12301" max="12301" width="12.6640625" style="116" customWidth="1"/>
    <col min="12302" max="12302" width="14" style="116" customWidth="1"/>
    <col min="12303" max="12303" width="15" style="116" customWidth="1"/>
    <col min="12304" max="12544" width="9.33203125" style="116"/>
    <col min="12545" max="12545" width="3.5546875" style="116" customWidth="1"/>
    <col min="12546" max="12546" width="11.44140625" style="116" customWidth="1"/>
    <col min="12547" max="12547" width="11.33203125" style="116" bestFit="1" customWidth="1"/>
    <col min="12548" max="12548" width="12.44140625" style="116" bestFit="1" customWidth="1"/>
    <col min="12549" max="12549" width="12.44140625" style="116" customWidth="1"/>
    <col min="12550" max="12550" width="10.6640625" style="116" customWidth="1"/>
    <col min="12551" max="12551" width="12.6640625" style="116" customWidth="1"/>
    <col min="12552" max="12552" width="9.5546875" style="116" customWidth="1"/>
    <col min="12553" max="12553" width="14" style="116" customWidth="1"/>
    <col min="12554" max="12554" width="25.33203125" style="116" customWidth="1"/>
    <col min="12555" max="12555" width="12.6640625" style="116" customWidth="1"/>
    <col min="12556" max="12556" width="11.6640625" style="116" customWidth="1"/>
    <col min="12557" max="12557" width="12.6640625" style="116" customWidth="1"/>
    <col min="12558" max="12558" width="14" style="116" customWidth="1"/>
    <col min="12559" max="12559" width="15" style="116" customWidth="1"/>
    <col min="12560" max="12800" width="9.33203125" style="116"/>
    <col min="12801" max="12801" width="3.5546875" style="116" customWidth="1"/>
    <col min="12802" max="12802" width="11.44140625" style="116" customWidth="1"/>
    <col min="12803" max="12803" width="11.33203125" style="116" bestFit="1" customWidth="1"/>
    <col min="12804" max="12804" width="12.44140625" style="116" bestFit="1" customWidth="1"/>
    <col min="12805" max="12805" width="12.44140625" style="116" customWidth="1"/>
    <col min="12806" max="12806" width="10.6640625" style="116" customWidth="1"/>
    <col min="12807" max="12807" width="12.6640625" style="116" customWidth="1"/>
    <col min="12808" max="12808" width="9.5546875" style="116" customWidth="1"/>
    <col min="12809" max="12809" width="14" style="116" customWidth="1"/>
    <col min="12810" max="12810" width="25.33203125" style="116" customWidth="1"/>
    <col min="12811" max="12811" width="12.6640625" style="116" customWidth="1"/>
    <col min="12812" max="12812" width="11.6640625" style="116" customWidth="1"/>
    <col min="12813" max="12813" width="12.6640625" style="116" customWidth="1"/>
    <col min="12814" max="12814" width="14" style="116" customWidth="1"/>
    <col min="12815" max="12815" width="15" style="116" customWidth="1"/>
    <col min="12816" max="13056" width="9.33203125" style="116"/>
    <col min="13057" max="13057" width="3.5546875" style="116" customWidth="1"/>
    <col min="13058" max="13058" width="11.44140625" style="116" customWidth="1"/>
    <col min="13059" max="13059" width="11.33203125" style="116" bestFit="1" customWidth="1"/>
    <col min="13060" max="13060" width="12.44140625" style="116" bestFit="1" customWidth="1"/>
    <col min="13061" max="13061" width="12.44140625" style="116" customWidth="1"/>
    <col min="13062" max="13062" width="10.6640625" style="116" customWidth="1"/>
    <col min="13063" max="13063" width="12.6640625" style="116" customWidth="1"/>
    <col min="13064" max="13064" width="9.5546875" style="116" customWidth="1"/>
    <col min="13065" max="13065" width="14" style="116" customWidth="1"/>
    <col min="13066" max="13066" width="25.33203125" style="116" customWidth="1"/>
    <col min="13067" max="13067" width="12.6640625" style="116" customWidth="1"/>
    <col min="13068" max="13068" width="11.6640625" style="116" customWidth="1"/>
    <col min="13069" max="13069" width="12.6640625" style="116" customWidth="1"/>
    <col min="13070" max="13070" width="14" style="116" customWidth="1"/>
    <col min="13071" max="13071" width="15" style="116" customWidth="1"/>
    <col min="13072" max="13312" width="9.33203125" style="116"/>
    <col min="13313" max="13313" width="3.5546875" style="116" customWidth="1"/>
    <col min="13314" max="13314" width="11.44140625" style="116" customWidth="1"/>
    <col min="13315" max="13315" width="11.33203125" style="116" bestFit="1" customWidth="1"/>
    <col min="13316" max="13316" width="12.44140625" style="116" bestFit="1" customWidth="1"/>
    <col min="13317" max="13317" width="12.44140625" style="116" customWidth="1"/>
    <col min="13318" max="13318" width="10.6640625" style="116" customWidth="1"/>
    <col min="13319" max="13319" width="12.6640625" style="116" customWidth="1"/>
    <col min="13320" max="13320" width="9.5546875" style="116" customWidth="1"/>
    <col min="13321" max="13321" width="14" style="116" customWidth="1"/>
    <col min="13322" max="13322" width="25.33203125" style="116" customWidth="1"/>
    <col min="13323" max="13323" width="12.6640625" style="116" customWidth="1"/>
    <col min="13324" max="13324" width="11.6640625" style="116" customWidth="1"/>
    <col min="13325" max="13325" width="12.6640625" style="116" customWidth="1"/>
    <col min="13326" max="13326" width="14" style="116" customWidth="1"/>
    <col min="13327" max="13327" width="15" style="116" customWidth="1"/>
    <col min="13328" max="13568" width="9.33203125" style="116"/>
    <col min="13569" max="13569" width="3.5546875" style="116" customWidth="1"/>
    <col min="13570" max="13570" width="11.44140625" style="116" customWidth="1"/>
    <col min="13571" max="13571" width="11.33203125" style="116" bestFit="1" customWidth="1"/>
    <col min="13572" max="13572" width="12.44140625" style="116" bestFit="1" customWidth="1"/>
    <col min="13573" max="13573" width="12.44140625" style="116" customWidth="1"/>
    <col min="13574" max="13574" width="10.6640625" style="116" customWidth="1"/>
    <col min="13575" max="13575" width="12.6640625" style="116" customWidth="1"/>
    <col min="13576" max="13576" width="9.5546875" style="116" customWidth="1"/>
    <col min="13577" max="13577" width="14" style="116" customWidth="1"/>
    <col min="13578" max="13578" width="25.33203125" style="116" customWidth="1"/>
    <col min="13579" max="13579" width="12.6640625" style="116" customWidth="1"/>
    <col min="13580" max="13580" width="11.6640625" style="116" customWidth="1"/>
    <col min="13581" max="13581" width="12.6640625" style="116" customWidth="1"/>
    <col min="13582" max="13582" width="14" style="116" customWidth="1"/>
    <col min="13583" max="13583" width="15" style="116" customWidth="1"/>
    <col min="13584" max="13824" width="9.33203125" style="116"/>
    <col min="13825" max="13825" width="3.5546875" style="116" customWidth="1"/>
    <col min="13826" max="13826" width="11.44140625" style="116" customWidth="1"/>
    <col min="13827" max="13827" width="11.33203125" style="116" bestFit="1" customWidth="1"/>
    <col min="13828" max="13828" width="12.44140625" style="116" bestFit="1" customWidth="1"/>
    <col min="13829" max="13829" width="12.44140625" style="116" customWidth="1"/>
    <col min="13830" max="13830" width="10.6640625" style="116" customWidth="1"/>
    <col min="13831" max="13831" width="12.6640625" style="116" customWidth="1"/>
    <col min="13832" max="13832" width="9.5546875" style="116" customWidth="1"/>
    <col min="13833" max="13833" width="14" style="116" customWidth="1"/>
    <col min="13834" max="13834" width="25.33203125" style="116" customWidth="1"/>
    <col min="13835" max="13835" width="12.6640625" style="116" customWidth="1"/>
    <col min="13836" max="13836" width="11.6640625" style="116" customWidth="1"/>
    <col min="13837" max="13837" width="12.6640625" style="116" customWidth="1"/>
    <col min="13838" max="13838" width="14" style="116" customWidth="1"/>
    <col min="13839" max="13839" width="15" style="116" customWidth="1"/>
    <col min="13840" max="14080" width="9.33203125" style="116"/>
    <col min="14081" max="14081" width="3.5546875" style="116" customWidth="1"/>
    <col min="14082" max="14082" width="11.44140625" style="116" customWidth="1"/>
    <col min="14083" max="14083" width="11.33203125" style="116" bestFit="1" customWidth="1"/>
    <col min="14084" max="14084" width="12.44140625" style="116" bestFit="1" customWidth="1"/>
    <col min="14085" max="14085" width="12.44140625" style="116" customWidth="1"/>
    <col min="14086" max="14086" width="10.6640625" style="116" customWidth="1"/>
    <col min="14087" max="14087" width="12.6640625" style="116" customWidth="1"/>
    <col min="14088" max="14088" width="9.5546875" style="116" customWidth="1"/>
    <col min="14089" max="14089" width="14" style="116" customWidth="1"/>
    <col min="14090" max="14090" width="25.33203125" style="116" customWidth="1"/>
    <col min="14091" max="14091" width="12.6640625" style="116" customWidth="1"/>
    <col min="14092" max="14092" width="11.6640625" style="116" customWidth="1"/>
    <col min="14093" max="14093" width="12.6640625" style="116" customWidth="1"/>
    <col min="14094" max="14094" width="14" style="116" customWidth="1"/>
    <col min="14095" max="14095" width="15" style="116" customWidth="1"/>
    <col min="14096" max="14336" width="9.33203125" style="116"/>
    <col min="14337" max="14337" width="3.5546875" style="116" customWidth="1"/>
    <col min="14338" max="14338" width="11.44140625" style="116" customWidth="1"/>
    <col min="14339" max="14339" width="11.33203125" style="116" bestFit="1" customWidth="1"/>
    <col min="14340" max="14340" width="12.44140625" style="116" bestFit="1" customWidth="1"/>
    <col min="14341" max="14341" width="12.44140625" style="116" customWidth="1"/>
    <col min="14342" max="14342" width="10.6640625" style="116" customWidth="1"/>
    <col min="14343" max="14343" width="12.6640625" style="116" customWidth="1"/>
    <col min="14344" max="14344" width="9.5546875" style="116" customWidth="1"/>
    <col min="14345" max="14345" width="14" style="116" customWidth="1"/>
    <col min="14346" max="14346" width="25.33203125" style="116" customWidth="1"/>
    <col min="14347" max="14347" width="12.6640625" style="116" customWidth="1"/>
    <col min="14348" max="14348" width="11.6640625" style="116" customWidth="1"/>
    <col min="14349" max="14349" width="12.6640625" style="116" customWidth="1"/>
    <col min="14350" max="14350" width="14" style="116" customWidth="1"/>
    <col min="14351" max="14351" width="15" style="116" customWidth="1"/>
    <col min="14352" max="14592" width="9.33203125" style="116"/>
    <col min="14593" max="14593" width="3.5546875" style="116" customWidth="1"/>
    <col min="14594" max="14594" width="11.44140625" style="116" customWidth="1"/>
    <col min="14595" max="14595" width="11.33203125" style="116" bestFit="1" customWidth="1"/>
    <col min="14596" max="14596" width="12.44140625" style="116" bestFit="1" customWidth="1"/>
    <col min="14597" max="14597" width="12.44140625" style="116" customWidth="1"/>
    <col min="14598" max="14598" width="10.6640625" style="116" customWidth="1"/>
    <col min="14599" max="14599" width="12.6640625" style="116" customWidth="1"/>
    <col min="14600" max="14600" width="9.5546875" style="116" customWidth="1"/>
    <col min="14601" max="14601" width="14" style="116" customWidth="1"/>
    <col min="14602" max="14602" width="25.33203125" style="116" customWidth="1"/>
    <col min="14603" max="14603" width="12.6640625" style="116" customWidth="1"/>
    <col min="14604" max="14604" width="11.6640625" style="116" customWidth="1"/>
    <col min="14605" max="14605" width="12.6640625" style="116" customWidth="1"/>
    <col min="14606" max="14606" width="14" style="116" customWidth="1"/>
    <col min="14607" max="14607" width="15" style="116" customWidth="1"/>
    <col min="14608" max="14848" width="9.33203125" style="116"/>
    <col min="14849" max="14849" width="3.5546875" style="116" customWidth="1"/>
    <col min="14850" max="14850" width="11.44140625" style="116" customWidth="1"/>
    <col min="14851" max="14851" width="11.33203125" style="116" bestFit="1" customWidth="1"/>
    <col min="14852" max="14852" width="12.44140625" style="116" bestFit="1" customWidth="1"/>
    <col min="14853" max="14853" width="12.44140625" style="116" customWidth="1"/>
    <col min="14854" max="14854" width="10.6640625" style="116" customWidth="1"/>
    <col min="14855" max="14855" width="12.6640625" style="116" customWidth="1"/>
    <col min="14856" max="14856" width="9.5546875" style="116" customWidth="1"/>
    <col min="14857" max="14857" width="14" style="116" customWidth="1"/>
    <col min="14858" max="14858" width="25.33203125" style="116" customWidth="1"/>
    <col min="14859" max="14859" width="12.6640625" style="116" customWidth="1"/>
    <col min="14860" max="14860" width="11.6640625" style="116" customWidth="1"/>
    <col min="14861" max="14861" width="12.6640625" style="116" customWidth="1"/>
    <col min="14862" max="14862" width="14" style="116" customWidth="1"/>
    <col min="14863" max="14863" width="15" style="116" customWidth="1"/>
    <col min="14864" max="15104" width="9.33203125" style="116"/>
    <col min="15105" max="15105" width="3.5546875" style="116" customWidth="1"/>
    <col min="15106" max="15106" width="11.44140625" style="116" customWidth="1"/>
    <col min="15107" max="15107" width="11.33203125" style="116" bestFit="1" customWidth="1"/>
    <col min="15108" max="15108" width="12.44140625" style="116" bestFit="1" customWidth="1"/>
    <col min="15109" max="15109" width="12.44140625" style="116" customWidth="1"/>
    <col min="15110" max="15110" width="10.6640625" style="116" customWidth="1"/>
    <col min="15111" max="15111" width="12.6640625" style="116" customWidth="1"/>
    <col min="15112" max="15112" width="9.5546875" style="116" customWidth="1"/>
    <col min="15113" max="15113" width="14" style="116" customWidth="1"/>
    <col min="15114" max="15114" width="25.33203125" style="116" customWidth="1"/>
    <col min="15115" max="15115" width="12.6640625" style="116" customWidth="1"/>
    <col min="15116" max="15116" width="11.6640625" style="116" customWidth="1"/>
    <col min="15117" max="15117" width="12.6640625" style="116" customWidth="1"/>
    <col min="15118" max="15118" width="14" style="116" customWidth="1"/>
    <col min="15119" max="15119" width="15" style="116" customWidth="1"/>
    <col min="15120" max="15360" width="9.33203125" style="116"/>
    <col min="15361" max="15361" width="3.5546875" style="116" customWidth="1"/>
    <col min="15362" max="15362" width="11.44140625" style="116" customWidth="1"/>
    <col min="15363" max="15363" width="11.33203125" style="116" bestFit="1" customWidth="1"/>
    <col min="15364" max="15364" width="12.44140625" style="116" bestFit="1" customWidth="1"/>
    <col min="15365" max="15365" width="12.44140625" style="116" customWidth="1"/>
    <col min="15366" max="15366" width="10.6640625" style="116" customWidth="1"/>
    <col min="15367" max="15367" width="12.6640625" style="116" customWidth="1"/>
    <col min="15368" max="15368" width="9.5546875" style="116" customWidth="1"/>
    <col min="15369" max="15369" width="14" style="116" customWidth="1"/>
    <col min="15370" max="15370" width="25.33203125" style="116" customWidth="1"/>
    <col min="15371" max="15371" width="12.6640625" style="116" customWidth="1"/>
    <col min="15372" max="15372" width="11.6640625" style="116" customWidth="1"/>
    <col min="15373" max="15373" width="12.6640625" style="116" customWidth="1"/>
    <col min="15374" max="15374" width="14" style="116" customWidth="1"/>
    <col min="15375" max="15375" width="15" style="116" customWidth="1"/>
    <col min="15376" max="15616" width="9.33203125" style="116"/>
    <col min="15617" max="15617" width="3.5546875" style="116" customWidth="1"/>
    <col min="15618" max="15618" width="11.44140625" style="116" customWidth="1"/>
    <col min="15619" max="15619" width="11.33203125" style="116" bestFit="1" customWidth="1"/>
    <col min="15620" max="15620" width="12.44140625" style="116" bestFit="1" customWidth="1"/>
    <col min="15621" max="15621" width="12.44140625" style="116" customWidth="1"/>
    <col min="15622" max="15622" width="10.6640625" style="116" customWidth="1"/>
    <col min="15623" max="15623" width="12.6640625" style="116" customWidth="1"/>
    <col min="15624" max="15624" width="9.5546875" style="116" customWidth="1"/>
    <col min="15625" max="15625" width="14" style="116" customWidth="1"/>
    <col min="15626" max="15626" width="25.33203125" style="116" customWidth="1"/>
    <col min="15627" max="15627" width="12.6640625" style="116" customWidth="1"/>
    <col min="15628" max="15628" width="11.6640625" style="116" customWidth="1"/>
    <col min="15629" max="15629" width="12.6640625" style="116" customWidth="1"/>
    <col min="15630" max="15630" width="14" style="116" customWidth="1"/>
    <col min="15631" max="15631" width="15" style="116" customWidth="1"/>
    <col min="15632" max="15872" width="9.33203125" style="116"/>
    <col min="15873" max="15873" width="3.5546875" style="116" customWidth="1"/>
    <col min="15874" max="15874" width="11.44140625" style="116" customWidth="1"/>
    <col min="15875" max="15875" width="11.33203125" style="116" bestFit="1" customWidth="1"/>
    <col min="15876" max="15876" width="12.44140625" style="116" bestFit="1" customWidth="1"/>
    <col min="15877" max="15877" width="12.44140625" style="116" customWidth="1"/>
    <col min="15878" max="15878" width="10.6640625" style="116" customWidth="1"/>
    <col min="15879" max="15879" width="12.6640625" style="116" customWidth="1"/>
    <col min="15880" max="15880" width="9.5546875" style="116" customWidth="1"/>
    <col min="15881" max="15881" width="14" style="116" customWidth="1"/>
    <col min="15882" max="15882" width="25.33203125" style="116" customWidth="1"/>
    <col min="15883" max="15883" width="12.6640625" style="116" customWidth="1"/>
    <col min="15884" max="15884" width="11.6640625" style="116" customWidth="1"/>
    <col min="15885" max="15885" width="12.6640625" style="116" customWidth="1"/>
    <col min="15886" max="15886" width="14" style="116" customWidth="1"/>
    <col min="15887" max="15887" width="15" style="116" customWidth="1"/>
    <col min="15888" max="16128" width="9.33203125" style="116"/>
    <col min="16129" max="16129" width="3.5546875" style="116" customWidth="1"/>
    <col min="16130" max="16130" width="11.44140625" style="116" customWidth="1"/>
    <col min="16131" max="16131" width="11.33203125" style="116" bestFit="1" customWidth="1"/>
    <col min="16132" max="16132" width="12.44140625" style="116" bestFit="1" customWidth="1"/>
    <col min="16133" max="16133" width="12.44140625" style="116" customWidth="1"/>
    <col min="16134" max="16134" width="10.6640625" style="116" customWidth="1"/>
    <col min="16135" max="16135" width="12.6640625" style="116" customWidth="1"/>
    <col min="16136" max="16136" width="9.5546875" style="116" customWidth="1"/>
    <col min="16137" max="16137" width="14" style="116" customWidth="1"/>
    <col min="16138" max="16138" width="25.33203125" style="116" customWidth="1"/>
    <col min="16139" max="16139" width="12.6640625" style="116" customWidth="1"/>
    <col min="16140" max="16140" width="11.6640625" style="116" customWidth="1"/>
    <col min="16141" max="16141" width="12.6640625" style="116" customWidth="1"/>
    <col min="16142" max="16142" width="14" style="116" customWidth="1"/>
    <col min="16143" max="16143" width="15" style="116" customWidth="1"/>
    <col min="16144" max="16384" width="9.33203125" style="116"/>
  </cols>
  <sheetData>
    <row r="2" spans="2:19" s="77" customFormat="1" ht="12.75" customHeight="1" x14ac:dyDescent="0.3">
      <c r="B2" s="627" t="s">
        <v>626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9"/>
    </row>
    <row r="3" spans="2:19" s="77" customFormat="1" ht="12.75" customHeight="1" x14ac:dyDescent="0.3">
      <c r="B3" s="630" t="s">
        <v>627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2"/>
    </row>
    <row r="4" spans="2:19" s="77" customFormat="1" ht="12.75" customHeight="1" x14ac:dyDescent="0.3">
      <c r="B4" s="633" t="s">
        <v>620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5"/>
    </row>
    <row r="5" spans="2:19" s="113" customFormat="1" ht="41.4" x14ac:dyDescent="0.3">
      <c r="B5" s="376" t="s">
        <v>628</v>
      </c>
      <c r="C5" s="377" t="s">
        <v>629</v>
      </c>
      <c r="D5" s="377" t="s">
        <v>630</v>
      </c>
      <c r="E5" s="377" t="s">
        <v>631</v>
      </c>
      <c r="F5" s="377" t="s">
        <v>584</v>
      </c>
      <c r="G5" s="377" t="s">
        <v>632</v>
      </c>
      <c r="H5" s="377" t="s">
        <v>633</v>
      </c>
      <c r="I5" s="377" t="s">
        <v>634</v>
      </c>
      <c r="J5" s="377" t="s">
        <v>635</v>
      </c>
      <c r="K5" s="377" t="s">
        <v>636</v>
      </c>
      <c r="L5" s="377" t="s">
        <v>637</v>
      </c>
      <c r="M5" s="377" t="s">
        <v>638</v>
      </c>
      <c r="N5" s="378" t="s">
        <v>639</v>
      </c>
      <c r="O5" s="112"/>
    </row>
    <row r="6" spans="2:19" s="115" customFormat="1" x14ac:dyDescent="0.3"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114"/>
    </row>
    <row r="7" spans="2:19" x14ac:dyDescent="0.3">
      <c r="B7" s="380" t="s">
        <v>640</v>
      </c>
      <c r="C7" s="381">
        <f>'F6'!I9</f>
        <v>4131.7862290340008</v>
      </c>
      <c r="D7" s="382">
        <f>'F6'!I10</f>
        <v>567.90183815372984</v>
      </c>
      <c r="E7" s="381"/>
      <c r="F7" s="382">
        <f t="shared" ref="F7:F8" si="0">C7+D7-E7</f>
        <v>4699.6880671877307</v>
      </c>
      <c r="G7" s="383">
        <f>'F6'!I13</f>
        <v>5.2574493488659731E-2</v>
      </c>
      <c r="H7" s="381">
        <f>'F6'!I14</f>
        <v>232.15514394098761</v>
      </c>
      <c r="I7" s="381">
        <f>'F6'!I20</f>
        <v>21.220000000000002</v>
      </c>
      <c r="J7" s="382">
        <f>'F6'!I19</f>
        <v>2.4215811700876673</v>
      </c>
      <c r="K7" s="382">
        <f t="shared" ref="K7:K10" si="1">H7-I7-J7</f>
        <v>208.51356277089994</v>
      </c>
      <c r="L7" s="382"/>
      <c r="M7" s="381"/>
      <c r="N7" s="381"/>
      <c r="O7" s="112"/>
      <c r="P7" s="112"/>
      <c r="Q7" s="113"/>
      <c r="R7" s="113"/>
      <c r="S7" s="113"/>
    </row>
    <row r="8" spans="2:19" x14ac:dyDescent="0.3">
      <c r="B8" s="380" t="s">
        <v>641</v>
      </c>
      <c r="C8" s="381">
        <f>'F6'!K9</f>
        <v>4699.6880671877307</v>
      </c>
      <c r="D8" s="381">
        <f>'F6'!K10</f>
        <v>396.76</v>
      </c>
      <c r="E8" s="384"/>
      <c r="F8" s="382">
        <f t="shared" si="0"/>
        <v>5096.4480671877309</v>
      </c>
      <c r="G8" s="385">
        <f>'F6'!K13</f>
        <v>5.2582056106987948E-2</v>
      </c>
      <c r="H8" s="381">
        <f>'F6'!K14</f>
        <v>257.55048992471126</v>
      </c>
      <c r="I8" s="381">
        <f>'F6'!K20</f>
        <v>22.92</v>
      </c>
      <c r="J8" s="382">
        <f>'F6'!K19</f>
        <v>2.6317319081547472</v>
      </c>
      <c r="K8" s="382">
        <f t="shared" si="1"/>
        <v>231.99875801655651</v>
      </c>
      <c r="L8" s="386"/>
      <c r="M8" s="386"/>
      <c r="N8" s="381"/>
    </row>
    <row r="9" spans="2:19" x14ac:dyDescent="0.3">
      <c r="B9" s="380" t="s">
        <v>28</v>
      </c>
      <c r="C9" s="381">
        <f>'F5'!M11</f>
        <v>5096.4480671877309</v>
      </c>
      <c r="D9" s="381">
        <f>'F5'!M14</f>
        <v>339.43339719999858</v>
      </c>
      <c r="E9" s="384"/>
      <c r="F9" s="382">
        <f>'F5'!M17</f>
        <v>5435.8814643877295</v>
      </c>
      <c r="G9" s="385">
        <v>5.2600000000000001E-2</v>
      </c>
      <c r="H9" s="381">
        <f>'F6'!M14</f>
        <v>277.00026668043466</v>
      </c>
      <c r="I9" s="381">
        <f>'F6'!M20</f>
        <v>25.033404939826895</v>
      </c>
      <c r="J9" s="382">
        <f>'F6'!M19</f>
        <v>2.8425040000000004</v>
      </c>
      <c r="K9" s="382">
        <f t="shared" si="1"/>
        <v>249.12435774060779</v>
      </c>
      <c r="L9" s="386"/>
      <c r="M9" s="386"/>
      <c r="N9" s="381"/>
    </row>
    <row r="10" spans="2:19" x14ac:dyDescent="0.3">
      <c r="B10" s="380" t="s">
        <v>29</v>
      </c>
      <c r="C10" s="381">
        <f>'F6'!O9</f>
        <v>5435.8814643877313</v>
      </c>
      <c r="D10" s="381">
        <f>'F6'!O10</f>
        <v>134.82529275899878</v>
      </c>
      <c r="E10" s="384"/>
      <c r="F10" s="382">
        <f>'F6'!O11</f>
        <v>5570.7067571467305</v>
      </c>
      <c r="G10" s="385">
        <f>'F6'!O13</f>
        <v>5.2574790211976127E-2</v>
      </c>
      <c r="H10" s="381">
        <f>'F6'!O14</f>
        <v>289.33453334839083</v>
      </c>
      <c r="I10" s="381">
        <f>'F6'!O20</f>
        <v>29.747992773881695</v>
      </c>
      <c r="J10" s="382">
        <f>'F6'!O19</f>
        <v>2.8411416630551902</v>
      </c>
      <c r="K10" s="382">
        <f t="shared" si="1"/>
        <v>256.74539891145395</v>
      </c>
      <c r="L10" s="386"/>
      <c r="M10" s="386"/>
      <c r="N10" s="381"/>
    </row>
    <row r="11" spans="2:19" x14ac:dyDescent="0.3">
      <c r="B11" s="117" t="s">
        <v>616</v>
      </c>
      <c r="C11" s="118"/>
      <c r="D11" s="118"/>
      <c r="E11" s="118"/>
      <c r="F11" s="118"/>
      <c r="G11" s="118"/>
      <c r="H11" s="118"/>
    </row>
    <row r="12" spans="2:19" x14ac:dyDescent="0.3">
      <c r="B12" s="118" t="s">
        <v>642</v>
      </c>
      <c r="C12" s="118"/>
      <c r="D12" s="118"/>
      <c r="E12" s="118"/>
      <c r="F12" s="118"/>
      <c r="G12" s="118"/>
      <c r="H12" s="118"/>
    </row>
    <row r="13" spans="2:19" x14ac:dyDescent="0.3">
      <c r="B13" s="641" t="s">
        <v>643</v>
      </c>
      <c r="C13" s="641"/>
      <c r="D13" s="641"/>
      <c r="E13" s="641"/>
      <c r="F13" s="641"/>
      <c r="G13" s="641"/>
      <c r="H13" s="641"/>
    </row>
    <row r="14" spans="2:19" x14ac:dyDescent="0.3">
      <c r="B14" s="640" t="s">
        <v>644</v>
      </c>
      <c r="C14" s="640"/>
      <c r="D14" s="640"/>
      <c r="E14" s="640"/>
      <c r="F14" s="640"/>
      <c r="G14" s="640"/>
      <c r="H14" s="640"/>
    </row>
    <row r="15" spans="2:19" x14ac:dyDescent="0.3">
      <c r="B15" s="640" t="s">
        <v>645</v>
      </c>
      <c r="C15" s="640"/>
      <c r="D15" s="640"/>
      <c r="E15" s="640"/>
      <c r="F15" s="640"/>
      <c r="G15" s="640"/>
      <c r="H15" s="640"/>
    </row>
    <row r="16" spans="2:19" ht="20.100000000000001" customHeight="1" x14ac:dyDescent="0.3">
      <c r="B16" s="119"/>
      <c r="C16" s="120"/>
      <c r="D16" s="120"/>
      <c r="E16" s="120"/>
    </row>
    <row r="17" spans="2:2" ht="20.100000000000001" customHeight="1" x14ac:dyDescent="0.3"/>
    <row r="18" spans="2:2" ht="15" customHeight="1" x14ac:dyDescent="0.3"/>
    <row r="19" spans="2:2" ht="15" customHeight="1" x14ac:dyDescent="0.3">
      <c r="B19" s="121"/>
    </row>
    <row r="20" spans="2:2" ht="34.5" customHeight="1" x14ac:dyDescent="0.3"/>
    <row r="21" spans="2:2" ht="31.5" customHeight="1" x14ac:dyDescent="0.3"/>
    <row r="22" spans="2:2" ht="29.25" customHeight="1" x14ac:dyDescent="0.3">
      <c r="B22" s="121"/>
    </row>
    <row r="23" spans="2:2" ht="34.5" customHeight="1" x14ac:dyDescent="0.3"/>
    <row r="24" spans="2:2" ht="31.5" customHeight="1" x14ac:dyDescent="0.3"/>
    <row r="25" spans="2:2" ht="29.25" customHeight="1" x14ac:dyDescent="0.3">
      <c r="B25" s="121"/>
    </row>
    <row r="26" spans="2:2" ht="34.5" customHeight="1" x14ac:dyDescent="0.3"/>
    <row r="27" spans="2:2" ht="31.5" customHeight="1" x14ac:dyDescent="0.3"/>
    <row r="28" spans="2:2" ht="29.25" customHeight="1" x14ac:dyDescent="0.3">
      <c r="B28" s="121"/>
    </row>
    <row r="29" spans="2:2" ht="34.5" customHeight="1" x14ac:dyDescent="0.3"/>
    <row r="30" spans="2:2" ht="31.5" customHeight="1" x14ac:dyDescent="0.3"/>
    <row r="31" spans="2:2" ht="29.25" customHeight="1" x14ac:dyDescent="0.3">
      <c r="B31" s="121"/>
    </row>
    <row r="32" spans="2:2" ht="34.5" customHeight="1" x14ac:dyDescent="0.3"/>
    <row r="33" spans="2:7" ht="20.100000000000001" customHeight="1" x14ac:dyDescent="0.3">
      <c r="B33" s="122"/>
    </row>
    <row r="34" spans="2:7" ht="20.100000000000001" customHeight="1" x14ac:dyDescent="0.3">
      <c r="B34" s="123"/>
      <c r="C34" s="123"/>
      <c r="D34" s="123"/>
      <c r="E34" s="123"/>
    </row>
    <row r="35" spans="2:7" ht="20.100000000000001" customHeight="1" x14ac:dyDescent="0.3">
      <c r="B35" s="123"/>
      <c r="C35" s="123"/>
      <c r="D35" s="123"/>
      <c r="E35" s="123"/>
    </row>
    <row r="36" spans="2:7" ht="20.100000000000001" customHeight="1" x14ac:dyDescent="0.3">
      <c r="B36" s="124"/>
      <c r="C36" s="125"/>
      <c r="D36" s="125"/>
      <c r="E36" s="125"/>
    </row>
    <row r="37" spans="2:7" ht="20.100000000000001" customHeight="1" x14ac:dyDescent="0.3">
      <c r="B37" s="124"/>
      <c r="C37" s="125"/>
      <c r="D37" s="125"/>
      <c r="E37" s="125"/>
    </row>
    <row r="38" spans="2:7" ht="20.100000000000001" customHeight="1" x14ac:dyDescent="0.3">
      <c r="B38" s="124"/>
      <c r="C38" s="125"/>
      <c r="D38" s="125"/>
      <c r="E38" s="125"/>
    </row>
    <row r="39" spans="2:7" x14ac:dyDescent="0.3">
      <c r="B39" s="124"/>
      <c r="C39" s="124"/>
      <c r="D39" s="124"/>
      <c r="E39" s="124"/>
    </row>
    <row r="40" spans="2:7" x14ac:dyDescent="0.3">
      <c r="B40" s="124"/>
      <c r="C40" s="124"/>
      <c r="D40" s="124"/>
      <c r="E40" s="124"/>
    </row>
    <row r="42" spans="2:7" x14ac:dyDescent="0.3">
      <c r="C42" s="126"/>
      <c r="D42" s="126"/>
      <c r="E42" s="126"/>
      <c r="F42" s="126"/>
      <c r="G42" s="126"/>
    </row>
    <row r="43" spans="2:7" x14ac:dyDescent="0.3">
      <c r="C43" s="127" t="e">
        <f>+#REF!-#REF!</f>
        <v>#REF!</v>
      </c>
      <c r="D43" s="126" t="e">
        <f>+#REF!*0.8</f>
        <v>#REF!</v>
      </c>
      <c r="E43" s="126"/>
      <c r="F43" s="126"/>
      <c r="G43" s="126"/>
    </row>
    <row r="44" spans="2:7" x14ac:dyDescent="0.3">
      <c r="C44" s="126"/>
      <c r="D44" s="126"/>
      <c r="E44" s="127" t="e">
        <f>+#REF!*#REF!</f>
        <v>#REF!</v>
      </c>
      <c r="F44" s="127" t="e">
        <f>+#REF!*#REF!</f>
        <v>#REF!</v>
      </c>
      <c r="G44" s="126"/>
    </row>
    <row r="45" spans="2:7" x14ac:dyDescent="0.3">
      <c r="C45" s="126"/>
      <c r="D45" s="126"/>
      <c r="E45" s="127" t="e">
        <f>+#REF!*#REF!*0.5</f>
        <v>#REF!</v>
      </c>
      <c r="F45" s="127" t="e">
        <f>+#REF!*#REF!*0.5</f>
        <v>#REF!</v>
      </c>
      <c r="G45" s="126"/>
    </row>
    <row r="46" spans="2:7" x14ac:dyDescent="0.3">
      <c r="C46" s="126"/>
      <c r="D46" s="126"/>
      <c r="E46" s="127" t="e">
        <f>+E44+E45</f>
        <v>#REF!</v>
      </c>
      <c r="F46" s="127" t="e">
        <f>+F44+F45</f>
        <v>#REF!</v>
      </c>
      <c r="G46" s="126"/>
    </row>
    <row r="47" spans="2:7" x14ac:dyDescent="0.3">
      <c r="C47" s="126"/>
      <c r="D47" s="126"/>
      <c r="E47" s="126"/>
      <c r="F47" s="126"/>
      <c r="G47" s="126"/>
    </row>
    <row r="48" spans="2:7" x14ac:dyDescent="0.3">
      <c r="C48" s="126"/>
      <c r="D48" s="126"/>
      <c r="E48" s="126"/>
      <c r="F48" s="126"/>
      <c r="G48" s="126"/>
    </row>
  </sheetData>
  <mergeCells count="6">
    <mergeCell ref="B15:H15"/>
    <mergeCell ref="B2:N2"/>
    <mergeCell ref="B3:N3"/>
    <mergeCell ref="B4:N4"/>
    <mergeCell ref="B13:H13"/>
    <mergeCell ref="B14:H14"/>
  </mergeCells>
  <pageMargins left="0.7" right="0.7" top="0.75" bottom="0.75" header="0.3" footer="0.3"/>
  <pageSetup scale="51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22"/>
  <sheetViews>
    <sheetView showGridLines="0" zoomScaleNormal="100" workbookViewId="0">
      <selection activeCell="G7" sqref="G7"/>
    </sheetView>
  </sheetViews>
  <sheetFormatPr defaultRowHeight="13.8" x14ac:dyDescent="0.3"/>
  <cols>
    <col min="1" max="1" width="3.6640625" style="77" customWidth="1"/>
    <col min="2" max="2" width="3.6640625" style="128" customWidth="1"/>
    <col min="3" max="3" width="52.33203125" style="77" customWidth="1"/>
    <col min="4" max="5" width="15.33203125" style="77" hidden="1" customWidth="1"/>
    <col min="6" max="6" width="12" style="77" hidden="1" customWidth="1"/>
    <col min="7" max="7" width="11.44140625" style="77" bestFit="1" customWidth="1"/>
    <col min="8" max="250" width="9.33203125" style="77"/>
    <col min="251" max="252" width="3.6640625" style="77" customWidth="1"/>
    <col min="253" max="253" width="52.33203125" style="77" customWidth="1"/>
    <col min="254" max="254" width="11.44140625" style="77" bestFit="1" customWidth="1"/>
    <col min="255" max="255" width="0" style="77" hidden="1" customWidth="1"/>
    <col min="256" max="260" width="9.6640625" style="77" bestFit="1" customWidth="1"/>
    <col min="261" max="506" width="9.33203125" style="77"/>
    <col min="507" max="508" width="3.6640625" style="77" customWidth="1"/>
    <col min="509" max="509" width="52.33203125" style="77" customWidth="1"/>
    <col min="510" max="510" width="11.44140625" style="77" bestFit="1" customWidth="1"/>
    <col min="511" max="511" width="0" style="77" hidden="1" customWidth="1"/>
    <col min="512" max="516" width="9.6640625" style="77" bestFit="1" customWidth="1"/>
    <col min="517" max="762" width="9.33203125" style="77"/>
    <col min="763" max="764" width="3.6640625" style="77" customWidth="1"/>
    <col min="765" max="765" width="52.33203125" style="77" customWidth="1"/>
    <col min="766" max="766" width="11.44140625" style="77" bestFit="1" customWidth="1"/>
    <col min="767" max="767" width="0" style="77" hidden="1" customWidth="1"/>
    <col min="768" max="772" width="9.6640625" style="77" bestFit="1" customWidth="1"/>
    <col min="773" max="1018" width="9.33203125" style="77"/>
    <col min="1019" max="1020" width="3.6640625" style="77" customWidth="1"/>
    <col min="1021" max="1021" width="52.33203125" style="77" customWidth="1"/>
    <col min="1022" max="1022" width="11.44140625" style="77" bestFit="1" customWidth="1"/>
    <col min="1023" max="1023" width="0" style="77" hidden="1" customWidth="1"/>
    <col min="1024" max="1028" width="9.6640625" style="77" bestFit="1" customWidth="1"/>
    <col min="1029" max="1274" width="9.33203125" style="77"/>
    <col min="1275" max="1276" width="3.6640625" style="77" customWidth="1"/>
    <col min="1277" max="1277" width="52.33203125" style="77" customWidth="1"/>
    <col min="1278" max="1278" width="11.44140625" style="77" bestFit="1" customWidth="1"/>
    <col min="1279" max="1279" width="0" style="77" hidden="1" customWidth="1"/>
    <col min="1280" max="1284" width="9.6640625" style="77" bestFit="1" customWidth="1"/>
    <col min="1285" max="1530" width="9.33203125" style="77"/>
    <col min="1531" max="1532" width="3.6640625" style="77" customWidth="1"/>
    <col min="1533" max="1533" width="52.33203125" style="77" customWidth="1"/>
    <col min="1534" max="1534" width="11.44140625" style="77" bestFit="1" customWidth="1"/>
    <col min="1535" max="1535" width="0" style="77" hidden="1" customWidth="1"/>
    <col min="1536" max="1540" width="9.6640625" style="77" bestFit="1" customWidth="1"/>
    <col min="1541" max="1786" width="9.33203125" style="77"/>
    <col min="1787" max="1788" width="3.6640625" style="77" customWidth="1"/>
    <col min="1789" max="1789" width="52.33203125" style="77" customWidth="1"/>
    <col min="1790" max="1790" width="11.44140625" style="77" bestFit="1" customWidth="1"/>
    <col min="1791" max="1791" width="0" style="77" hidden="1" customWidth="1"/>
    <col min="1792" max="1796" width="9.6640625" style="77" bestFit="1" customWidth="1"/>
    <col min="1797" max="2042" width="9.33203125" style="77"/>
    <col min="2043" max="2044" width="3.6640625" style="77" customWidth="1"/>
    <col min="2045" max="2045" width="52.33203125" style="77" customWidth="1"/>
    <col min="2046" max="2046" width="11.44140625" style="77" bestFit="1" customWidth="1"/>
    <col min="2047" max="2047" width="0" style="77" hidden="1" customWidth="1"/>
    <col min="2048" max="2052" width="9.6640625" style="77" bestFit="1" customWidth="1"/>
    <col min="2053" max="2298" width="9.33203125" style="77"/>
    <col min="2299" max="2300" width="3.6640625" style="77" customWidth="1"/>
    <col min="2301" max="2301" width="52.33203125" style="77" customWidth="1"/>
    <col min="2302" max="2302" width="11.44140625" style="77" bestFit="1" customWidth="1"/>
    <col min="2303" max="2303" width="0" style="77" hidden="1" customWidth="1"/>
    <col min="2304" max="2308" width="9.6640625" style="77" bestFit="1" customWidth="1"/>
    <col min="2309" max="2554" width="9.33203125" style="77"/>
    <col min="2555" max="2556" width="3.6640625" style="77" customWidth="1"/>
    <col min="2557" max="2557" width="52.33203125" style="77" customWidth="1"/>
    <col min="2558" max="2558" width="11.44140625" style="77" bestFit="1" customWidth="1"/>
    <col min="2559" max="2559" width="0" style="77" hidden="1" customWidth="1"/>
    <col min="2560" max="2564" width="9.6640625" style="77" bestFit="1" customWidth="1"/>
    <col min="2565" max="2810" width="9.33203125" style="77"/>
    <col min="2811" max="2812" width="3.6640625" style="77" customWidth="1"/>
    <col min="2813" max="2813" width="52.33203125" style="77" customWidth="1"/>
    <col min="2814" max="2814" width="11.44140625" style="77" bestFit="1" customWidth="1"/>
    <col min="2815" max="2815" width="0" style="77" hidden="1" customWidth="1"/>
    <col min="2816" max="2820" width="9.6640625" style="77" bestFit="1" customWidth="1"/>
    <col min="2821" max="3066" width="9.33203125" style="77"/>
    <col min="3067" max="3068" width="3.6640625" style="77" customWidth="1"/>
    <col min="3069" max="3069" width="52.33203125" style="77" customWidth="1"/>
    <col min="3070" max="3070" width="11.44140625" style="77" bestFit="1" customWidth="1"/>
    <col min="3071" max="3071" width="0" style="77" hidden="1" customWidth="1"/>
    <col min="3072" max="3076" width="9.6640625" style="77" bestFit="1" customWidth="1"/>
    <col min="3077" max="3322" width="9.33203125" style="77"/>
    <col min="3323" max="3324" width="3.6640625" style="77" customWidth="1"/>
    <col min="3325" max="3325" width="52.33203125" style="77" customWidth="1"/>
    <col min="3326" max="3326" width="11.44140625" style="77" bestFit="1" customWidth="1"/>
    <col min="3327" max="3327" width="0" style="77" hidden="1" customWidth="1"/>
    <col min="3328" max="3332" width="9.6640625" style="77" bestFit="1" customWidth="1"/>
    <col min="3333" max="3578" width="9.33203125" style="77"/>
    <col min="3579" max="3580" width="3.6640625" style="77" customWidth="1"/>
    <col min="3581" max="3581" width="52.33203125" style="77" customWidth="1"/>
    <col min="3582" max="3582" width="11.44140625" style="77" bestFit="1" customWidth="1"/>
    <col min="3583" max="3583" width="0" style="77" hidden="1" customWidth="1"/>
    <col min="3584" max="3588" width="9.6640625" style="77" bestFit="1" customWidth="1"/>
    <col min="3589" max="3834" width="9.33203125" style="77"/>
    <col min="3835" max="3836" width="3.6640625" style="77" customWidth="1"/>
    <col min="3837" max="3837" width="52.33203125" style="77" customWidth="1"/>
    <col min="3838" max="3838" width="11.44140625" style="77" bestFit="1" customWidth="1"/>
    <col min="3839" max="3839" width="0" style="77" hidden="1" customWidth="1"/>
    <col min="3840" max="3844" width="9.6640625" style="77" bestFit="1" customWidth="1"/>
    <col min="3845" max="4090" width="9.33203125" style="77"/>
    <col min="4091" max="4092" width="3.6640625" style="77" customWidth="1"/>
    <col min="4093" max="4093" width="52.33203125" style="77" customWidth="1"/>
    <col min="4094" max="4094" width="11.44140625" style="77" bestFit="1" customWidth="1"/>
    <col min="4095" max="4095" width="0" style="77" hidden="1" customWidth="1"/>
    <col min="4096" max="4100" width="9.6640625" style="77" bestFit="1" customWidth="1"/>
    <col min="4101" max="4346" width="9.33203125" style="77"/>
    <col min="4347" max="4348" width="3.6640625" style="77" customWidth="1"/>
    <col min="4349" max="4349" width="52.33203125" style="77" customWidth="1"/>
    <col min="4350" max="4350" width="11.44140625" style="77" bestFit="1" customWidth="1"/>
    <col min="4351" max="4351" width="0" style="77" hidden="1" customWidth="1"/>
    <col min="4352" max="4356" width="9.6640625" style="77" bestFit="1" customWidth="1"/>
    <col min="4357" max="4602" width="9.33203125" style="77"/>
    <col min="4603" max="4604" width="3.6640625" style="77" customWidth="1"/>
    <col min="4605" max="4605" width="52.33203125" style="77" customWidth="1"/>
    <col min="4606" max="4606" width="11.44140625" style="77" bestFit="1" customWidth="1"/>
    <col min="4607" max="4607" width="0" style="77" hidden="1" customWidth="1"/>
    <col min="4608" max="4612" width="9.6640625" style="77" bestFit="1" customWidth="1"/>
    <col min="4613" max="4858" width="9.33203125" style="77"/>
    <col min="4859" max="4860" width="3.6640625" style="77" customWidth="1"/>
    <col min="4861" max="4861" width="52.33203125" style="77" customWidth="1"/>
    <col min="4862" max="4862" width="11.44140625" style="77" bestFit="1" customWidth="1"/>
    <col min="4863" max="4863" width="0" style="77" hidden="1" customWidth="1"/>
    <col min="4864" max="4868" width="9.6640625" style="77" bestFit="1" customWidth="1"/>
    <col min="4869" max="5114" width="9.33203125" style="77"/>
    <col min="5115" max="5116" width="3.6640625" style="77" customWidth="1"/>
    <col min="5117" max="5117" width="52.33203125" style="77" customWidth="1"/>
    <col min="5118" max="5118" width="11.44140625" style="77" bestFit="1" customWidth="1"/>
    <col min="5119" max="5119" width="0" style="77" hidden="1" customWidth="1"/>
    <col min="5120" max="5124" width="9.6640625" style="77" bestFit="1" customWidth="1"/>
    <col min="5125" max="5370" width="9.33203125" style="77"/>
    <col min="5371" max="5372" width="3.6640625" style="77" customWidth="1"/>
    <col min="5373" max="5373" width="52.33203125" style="77" customWidth="1"/>
    <col min="5374" max="5374" width="11.44140625" style="77" bestFit="1" customWidth="1"/>
    <col min="5375" max="5375" width="0" style="77" hidden="1" customWidth="1"/>
    <col min="5376" max="5380" width="9.6640625" style="77" bestFit="1" customWidth="1"/>
    <col min="5381" max="5626" width="9.33203125" style="77"/>
    <col min="5627" max="5628" width="3.6640625" style="77" customWidth="1"/>
    <col min="5629" max="5629" width="52.33203125" style="77" customWidth="1"/>
    <col min="5630" max="5630" width="11.44140625" style="77" bestFit="1" customWidth="1"/>
    <col min="5631" max="5631" width="0" style="77" hidden="1" customWidth="1"/>
    <col min="5632" max="5636" width="9.6640625" style="77" bestFit="1" customWidth="1"/>
    <col min="5637" max="5882" width="9.33203125" style="77"/>
    <col min="5883" max="5884" width="3.6640625" style="77" customWidth="1"/>
    <col min="5885" max="5885" width="52.33203125" style="77" customWidth="1"/>
    <col min="5886" max="5886" width="11.44140625" style="77" bestFit="1" customWidth="1"/>
    <col min="5887" max="5887" width="0" style="77" hidden="1" customWidth="1"/>
    <col min="5888" max="5892" width="9.6640625" style="77" bestFit="1" customWidth="1"/>
    <col min="5893" max="6138" width="9.33203125" style="77"/>
    <col min="6139" max="6140" width="3.6640625" style="77" customWidth="1"/>
    <col min="6141" max="6141" width="52.33203125" style="77" customWidth="1"/>
    <col min="6142" max="6142" width="11.44140625" style="77" bestFit="1" customWidth="1"/>
    <col min="6143" max="6143" width="0" style="77" hidden="1" customWidth="1"/>
    <col min="6144" max="6148" width="9.6640625" style="77" bestFit="1" customWidth="1"/>
    <col min="6149" max="6394" width="9.33203125" style="77"/>
    <col min="6395" max="6396" width="3.6640625" style="77" customWidth="1"/>
    <col min="6397" max="6397" width="52.33203125" style="77" customWidth="1"/>
    <col min="6398" max="6398" width="11.44140625" style="77" bestFit="1" customWidth="1"/>
    <col min="6399" max="6399" width="0" style="77" hidden="1" customWidth="1"/>
    <col min="6400" max="6404" width="9.6640625" style="77" bestFit="1" customWidth="1"/>
    <col min="6405" max="6650" width="9.33203125" style="77"/>
    <col min="6651" max="6652" width="3.6640625" style="77" customWidth="1"/>
    <col min="6653" max="6653" width="52.33203125" style="77" customWidth="1"/>
    <col min="6654" max="6654" width="11.44140625" style="77" bestFit="1" customWidth="1"/>
    <col min="6655" max="6655" width="0" style="77" hidden="1" customWidth="1"/>
    <col min="6656" max="6660" width="9.6640625" style="77" bestFit="1" customWidth="1"/>
    <col min="6661" max="6906" width="9.33203125" style="77"/>
    <col min="6907" max="6908" width="3.6640625" style="77" customWidth="1"/>
    <col min="6909" max="6909" width="52.33203125" style="77" customWidth="1"/>
    <col min="6910" max="6910" width="11.44140625" style="77" bestFit="1" customWidth="1"/>
    <col min="6911" max="6911" width="0" style="77" hidden="1" customWidth="1"/>
    <col min="6912" max="6916" width="9.6640625" style="77" bestFit="1" customWidth="1"/>
    <col min="6917" max="7162" width="9.33203125" style="77"/>
    <col min="7163" max="7164" width="3.6640625" style="77" customWidth="1"/>
    <col min="7165" max="7165" width="52.33203125" style="77" customWidth="1"/>
    <col min="7166" max="7166" width="11.44140625" style="77" bestFit="1" customWidth="1"/>
    <col min="7167" max="7167" width="0" style="77" hidden="1" customWidth="1"/>
    <col min="7168" max="7172" width="9.6640625" style="77" bestFit="1" customWidth="1"/>
    <col min="7173" max="7418" width="9.33203125" style="77"/>
    <col min="7419" max="7420" width="3.6640625" style="77" customWidth="1"/>
    <col min="7421" max="7421" width="52.33203125" style="77" customWidth="1"/>
    <col min="7422" max="7422" width="11.44140625" style="77" bestFit="1" customWidth="1"/>
    <col min="7423" max="7423" width="0" style="77" hidden="1" customWidth="1"/>
    <col min="7424" max="7428" width="9.6640625" style="77" bestFit="1" customWidth="1"/>
    <col min="7429" max="7674" width="9.33203125" style="77"/>
    <col min="7675" max="7676" width="3.6640625" style="77" customWidth="1"/>
    <col min="7677" max="7677" width="52.33203125" style="77" customWidth="1"/>
    <col min="7678" max="7678" width="11.44140625" style="77" bestFit="1" customWidth="1"/>
    <col min="7679" max="7679" width="0" style="77" hidden="1" customWidth="1"/>
    <col min="7680" max="7684" width="9.6640625" style="77" bestFit="1" customWidth="1"/>
    <col min="7685" max="7930" width="9.33203125" style="77"/>
    <col min="7931" max="7932" width="3.6640625" style="77" customWidth="1"/>
    <col min="7933" max="7933" width="52.33203125" style="77" customWidth="1"/>
    <col min="7934" max="7934" width="11.44140625" style="77" bestFit="1" customWidth="1"/>
    <col min="7935" max="7935" width="0" style="77" hidden="1" customWidth="1"/>
    <col min="7936" max="7940" width="9.6640625" style="77" bestFit="1" customWidth="1"/>
    <col min="7941" max="8186" width="9.33203125" style="77"/>
    <col min="8187" max="8188" width="3.6640625" style="77" customWidth="1"/>
    <col min="8189" max="8189" width="52.33203125" style="77" customWidth="1"/>
    <col min="8190" max="8190" width="11.44140625" style="77" bestFit="1" customWidth="1"/>
    <col min="8191" max="8191" width="0" style="77" hidden="1" customWidth="1"/>
    <col min="8192" max="8196" width="9.6640625" style="77" bestFit="1" customWidth="1"/>
    <col min="8197" max="8442" width="9.33203125" style="77"/>
    <col min="8443" max="8444" width="3.6640625" style="77" customWidth="1"/>
    <col min="8445" max="8445" width="52.33203125" style="77" customWidth="1"/>
    <col min="8446" max="8446" width="11.44140625" style="77" bestFit="1" customWidth="1"/>
    <col min="8447" max="8447" width="0" style="77" hidden="1" customWidth="1"/>
    <col min="8448" max="8452" width="9.6640625" style="77" bestFit="1" customWidth="1"/>
    <col min="8453" max="8698" width="9.33203125" style="77"/>
    <col min="8699" max="8700" width="3.6640625" style="77" customWidth="1"/>
    <col min="8701" max="8701" width="52.33203125" style="77" customWidth="1"/>
    <col min="8702" max="8702" width="11.44140625" style="77" bestFit="1" customWidth="1"/>
    <col min="8703" max="8703" width="0" style="77" hidden="1" customWidth="1"/>
    <col min="8704" max="8708" width="9.6640625" style="77" bestFit="1" customWidth="1"/>
    <col min="8709" max="8954" width="9.33203125" style="77"/>
    <col min="8955" max="8956" width="3.6640625" style="77" customWidth="1"/>
    <col min="8957" max="8957" width="52.33203125" style="77" customWidth="1"/>
    <col min="8958" max="8958" width="11.44140625" style="77" bestFit="1" customWidth="1"/>
    <col min="8959" max="8959" width="0" style="77" hidden="1" customWidth="1"/>
    <col min="8960" max="8964" width="9.6640625" style="77" bestFit="1" customWidth="1"/>
    <col min="8965" max="9210" width="9.33203125" style="77"/>
    <col min="9211" max="9212" width="3.6640625" style="77" customWidth="1"/>
    <col min="9213" max="9213" width="52.33203125" style="77" customWidth="1"/>
    <col min="9214" max="9214" width="11.44140625" style="77" bestFit="1" customWidth="1"/>
    <col min="9215" max="9215" width="0" style="77" hidden="1" customWidth="1"/>
    <col min="9216" max="9220" width="9.6640625" style="77" bestFit="1" customWidth="1"/>
    <col min="9221" max="9466" width="9.33203125" style="77"/>
    <col min="9467" max="9468" width="3.6640625" style="77" customWidth="1"/>
    <col min="9469" max="9469" width="52.33203125" style="77" customWidth="1"/>
    <col min="9470" max="9470" width="11.44140625" style="77" bestFit="1" customWidth="1"/>
    <col min="9471" max="9471" width="0" style="77" hidden="1" customWidth="1"/>
    <col min="9472" max="9476" width="9.6640625" style="77" bestFit="1" customWidth="1"/>
    <col min="9477" max="9722" width="9.33203125" style="77"/>
    <col min="9723" max="9724" width="3.6640625" style="77" customWidth="1"/>
    <col min="9725" max="9725" width="52.33203125" style="77" customWidth="1"/>
    <col min="9726" max="9726" width="11.44140625" style="77" bestFit="1" customWidth="1"/>
    <col min="9727" max="9727" width="0" style="77" hidden="1" customWidth="1"/>
    <col min="9728" max="9732" width="9.6640625" style="77" bestFit="1" customWidth="1"/>
    <col min="9733" max="9978" width="9.33203125" style="77"/>
    <col min="9979" max="9980" width="3.6640625" style="77" customWidth="1"/>
    <col min="9981" max="9981" width="52.33203125" style="77" customWidth="1"/>
    <col min="9982" max="9982" width="11.44140625" style="77" bestFit="1" customWidth="1"/>
    <col min="9983" max="9983" width="0" style="77" hidden="1" customWidth="1"/>
    <col min="9984" max="9988" width="9.6640625" style="77" bestFit="1" customWidth="1"/>
    <col min="9989" max="10234" width="9.33203125" style="77"/>
    <col min="10235" max="10236" width="3.6640625" style="77" customWidth="1"/>
    <col min="10237" max="10237" width="52.33203125" style="77" customWidth="1"/>
    <col min="10238" max="10238" width="11.44140625" style="77" bestFit="1" customWidth="1"/>
    <col min="10239" max="10239" width="0" style="77" hidden="1" customWidth="1"/>
    <col min="10240" max="10244" width="9.6640625" style="77" bestFit="1" customWidth="1"/>
    <col min="10245" max="10490" width="9.33203125" style="77"/>
    <col min="10491" max="10492" width="3.6640625" style="77" customWidth="1"/>
    <col min="10493" max="10493" width="52.33203125" style="77" customWidth="1"/>
    <col min="10494" max="10494" width="11.44140625" style="77" bestFit="1" customWidth="1"/>
    <col min="10495" max="10495" width="0" style="77" hidden="1" customWidth="1"/>
    <col min="10496" max="10500" width="9.6640625" style="77" bestFit="1" customWidth="1"/>
    <col min="10501" max="10746" width="9.33203125" style="77"/>
    <col min="10747" max="10748" width="3.6640625" style="77" customWidth="1"/>
    <col min="10749" max="10749" width="52.33203125" style="77" customWidth="1"/>
    <col min="10750" max="10750" width="11.44140625" style="77" bestFit="1" customWidth="1"/>
    <col min="10751" max="10751" width="0" style="77" hidden="1" customWidth="1"/>
    <col min="10752" max="10756" width="9.6640625" style="77" bestFit="1" customWidth="1"/>
    <col min="10757" max="11002" width="9.33203125" style="77"/>
    <col min="11003" max="11004" width="3.6640625" style="77" customWidth="1"/>
    <col min="11005" max="11005" width="52.33203125" style="77" customWidth="1"/>
    <col min="11006" max="11006" width="11.44140625" style="77" bestFit="1" customWidth="1"/>
    <col min="11007" max="11007" width="0" style="77" hidden="1" customWidth="1"/>
    <col min="11008" max="11012" width="9.6640625" style="77" bestFit="1" customWidth="1"/>
    <col min="11013" max="11258" width="9.33203125" style="77"/>
    <col min="11259" max="11260" width="3.6640625" style="77" customWidth="1"/>
    <col min="11261" max="11261" width="52.33203125" style="77" customWidth="1"/>
    <col min="11262" max="11262" width="11.44140625" style="77" bestFit="1" customWidth="1"/>
    <col min="11263" max="11263" width="0" style="77" hidden="1" customWidth="1"/>
    <col min="11264" max="11268" width="9.6640625" style="77" bestFit="1" customWidth="1"/>
    <col min="11269" max="11514" width="9.33203125" style="77"/>
    <col min="11515" max="11516" width="3.6640625" style="77" customWidth="1"/>
    <col min="11517" max="11517" width="52.33203125" style="77" customWidth="1"/>
    <col min="11518" max="11518" width="11.44140625" style="77" bestFit="1" customWidth="1"/>
    <col min="11519" max="11519" width="0" style="77" hidden="1" customWidth="1"/>
    <col min="11520" max="11524" width="9.6640625" style="77" bestFit="1" customWidth="1"/>
    <col min="11525" max="11770" width="9.33203125" style="77"/>
    <col min="11771" max="11772" width="3.6640625" style="77" customWidth="1"/>
    <col min="11773" max="11773" width="52.33203125" style="77" customWidth="1"/>
    <col min="11774" max="11774" width="11.44140625" style="77" bestFit="1" customWidth="1"/>
    <col min="11775" max="11775" width="0" style="77" hidden="1" customWidth="1"/>
    <col min="11776" max="11780" width="9.6640625" style="77" bestFit="1" customWidth="1"/>
    <col min="11781" max="12026" width="9.33203125" style="77"/>
    <col min="12027" max="12028" width="3.6640625" style="77" customWidth="1"/>
    <col min="12029" max="12029" width="52.33203125" style="77" customWidth="1"/>
    <col min="12030" max="12030" width="11.44140625" style="77" bestFit="1" customWidth="1"/>
    <col min="12031" max="12031" width="0" style="77" hidden="1" customWidth="1"/>
    <col min="12032" max="12036" width="9.6640625" style="77" bestFit="1" customWidth="1"/>
    <col min="12037" max="12282" width="9.33203125" style="77"/>
    <col min="12283" max="12284" width="3.6640625" style="77" customWidth="1"/>
    <col min="12285" max="12285" width="52.33203125" style="77" customWidth="1"/>
    <col min="12286" max="12286" width="11.44140625" style="77" bestFit="1" customWidth="1"/>
    <col min="12287" max="12287" width="0" style="77" hidden="1" customWidth="1"/>
    <col min="12288" max="12292" width="9.6640625" style="77" bestFit="1" customWidth="1"/>
    <col min="12293" max="12538" width="9.33203125" style="77"/>
    <col min="12539" max="12540" width="3.6640625" style="77" customWidth="1"/>
    <col min="12541" max="12541" width="52.33203125" style="77" customWidth="1"/>
    <col min="12542" max="12542" width="11.44140625" style="77" bestFit="1" customWidth="1"/>
    <col min="12543" max="12543" width="0" style="77" hidden="1" customWidth="1"/>
    <col min="12544" max="12548" width="9.6640625" style="77" bestFit="1" customWidth="1"/>
    <col min="12549" max="12794" width="9.33203125" style="77"/>
    <col min="12795" max="12796" width="3.6640625" style="77" customWidth="1"/>
    <col min="12797" max="12797" width="52.33203125" style="77" customWidth="1"/>
    <col min="12798" max="12798" width="11.44140625" style="77" bestFit="1" customWidth="1"/>
    <col min="12799" max="12799" width="0" style="77" hidden="1" customWidth="1"/>
    <col min="12800" max="12804" width="9.6640625" style="77" bestFit="1" customWidth="1"/>
    <col min="12805" max="13050" width="9.33203125" style="77"/>
    <col min="13051" max="13052" width="3.6640625" style="77" customWidth="1"/>
    <col min="13053" max="13053" width="52.33203125" style="77" customWidth="1"/>
    <col min="13054" max="13054" width="11.44140625" style="77" bestFit="1" customWidth="1"/>
    <col min="13055" max="13055" width="0" style="77" hidden="1" customWidth="1"/>
    <col min="13056" max="13060" width="9.6640625" style="77" bestFit="1" customWidth="1"/>
    <col min="13061" max="13306" width="9.33203125" style="77"/>
    <col min="13307" max="13308" width="3.6640625" style="77" customWidth="1"/>
    <col min="13309" max="13309" width="52.33203125" style="77" customWidth="1"/>
    <col min="13310" max="13310" width="11.44140625" style="77" bestFit="1" customWidth="1"/>
    <col min="13311" max="13311" width="0" style="77" hidden="1" customWidth="1"/>
    <col min="13312" max="13316" width="9.6640625" style="77" bestFit="1" customWidth="1"/>
    <col min="13317" max="13562" width="9.33203125" style="77"/>
    <col min="13563" max="13564" width="3.6640625" style="77" customWidth="1"/>
    <col min="13565" max="13565" width="52.33203125" style="77" customWidth="1"/>
    <col min="13566" max="13566" width="11.44140625" style="77" bestFit="1" customWidth="1"/>
    <col min="13567" max="13567" width="0" style="77" hidden="1" customWidth="1"/>
    <col min="13568" max="13572" width="9.6640625" style="77" bestFit="1" customWidth="1"/>
    <col min="13573" max="13818" width="9.33203125" style="77"/>
    <col min="13819" max="13820" width="3.6640625" style="77" customWidth="1"/>
    <col min="13821" max="13821" width="52.33203125" style="77" customWidth="1"/>
    <col min="13822" max="13822" width="11.44140625" style="77" bestFit="1" customWidth="1"/>
    <col min="13823" max="13823" width="0" style="77" hidden="1" customWidth="1"/>
    <col min="13824" max="13828" width="9.6640625" style="77" bestFit="1" customWidth="1"/>
    <col min="13829" max="14074" width="9.33203125" style="77"/>
    <col min="14075" max="14076" width="3.6640625" style="77" customWidth="1"/>
    <col min="14077" max="14077" width="52.33203125" style="77" customWidth="1"/>
    <col min="14078" max="14078" width="11.44140625" style="77" bestFit="1" customWidth="1"/>
    <col min="14079" max="14079" width="0" style="77" hidden="1" customWidth="1"/>
    <col min="14080" max="14084" width="9.6640625" style="77" bestFit="1" customWidth="1"/>
    <col min="14085" max="14330" width="9.33203125" style="77"/>
    <col min="14331" max="14332" width="3.6640625" style="77" customWidth="1"/>
    <col min="14333" max="14333" width="52.33203125" style="77" customWidth="1"/>
    <col min="14334" max="14334" width="11.44140625" style="77" bestFit="1" customWidth="1"/>
    <col min="14335" max="14335" width="0" style="77" hidden="1" customWidth="1"/>
    <col min="14336" max="14340" width="9.6640625" style="77" bestFit="1" customWidth="1"/>
    <col min="14341" max="14586" width="9.33203125" style="77"/>
    <col min="14587" max="14588" width="3.6640625" style="77" customWidth="1"/>
    <col min="14589" max="14589" width="52.33203125" style="77" customWidth="1"/>
    <col min="14590" max="14590" width="11.44140625" style="77" bestFit="1" customWidth="1"/>
    <col min="14591" max="14591" width="0" style="77" hidden="1" customWidth="1"/>
    <col min="14592" max="14596" width="9.6640625" style="77" bestFit="1" customWidth="1"/>
    <col min="14597" max="14842" width="9.33203125" style="77"/>
    <col min="14843" max="14844" width="3.6640625" style="77" customWidth="1"/>
    <col min="14845" max="14845" width="52.33203125" style="77" customWidth="1"/>
    <col min="14846" max="14846" width="11.44140625" style="77" bestFit="1" customWidth="1"/>
    <col min="14847" max="14847" width="0" style="77" hidden="1" customWidth="1"/>
    <col min="14848" max="14852" width="9.6640625" style="77" bestFit="1" customWidth="1"/>
    <col min="14853" max="15098" width="9.33203125" style="77"/>
    <col min="15099" max="15100" width="3.6640625" style="77" customWidth="1"/>
    <col min="15101" max="15101" width="52.33203125" style="77" customWidth="1"/>
    <col min="15102" max="15102" width="11.44140625" style="77" bestFit="1" customWidth="1"/>
    <col min="15103" max="15103" width="0" style="77" hidden="1" customWidth="1"/>
    <col min="15104" max="15108" width="9.6640625" style="77" bestFit="1" customWidth="1"/>
    <col min="15109" max="15354" width="9.33203125" style="77"/>
    <col min="15355" max="15356" width="3.6640625" style="77" customWidth="1"/>
    <col min="15357" max="15357" width="52.33203125" style="77" customWidth="1"/>
    <col min="15358" max="15358" width="11.44140625" style="77" bestFit="1" customWidth="1"/>
    <col min="15359" max="15359" width="0" style="77" hidden="1" customWidth="1"/>
    <col min="15360" max="15364" width="9.6640625" style="77" bestFit="1" customWidth="1"/>
    <col min="15365" max="15610" width="9.33203125" style="77"/>
    <col min="15611" max="15612" width="3.6640625" style="77" customWidth="1"/>
    <col min="15613" max="15613" width="52.33203125" style="77" customWidth="1"/>
    <col min="15614" max="15614" width="11.44140625" style="77" bestFit="1" customWidth="1"/>
    <col min="15615" max="15615" width="0" style="77" hidden="1" customWidth="1"/>
    <col min="15616" max="15620" width="9.6640625" style="77" bestFit="1" customWidth="1"/>
    <col min="15621" max="15866" width="9.33203125" style="77"/>
    <col min="15867" max="15868" width="3.6640625" style="77" customWidth="1"/>
    <col min="15869" max="15869" width="52.33203125" style="77" customWidth="1"/>
    <col min="15870" max="15870" width="11.44140625" style="77" bestFit="1" customWidth="1"/>
    <col min="15871" max="15871" width="0" style="77" hidden="1" customWidth="1"/>
    <col min="15872" max="15876" width="9.6640625" style="77" bestFit="1" customWidth="1"/>
    <col min="15877" max="16122" width="9.33203125" style="77"/>
    <col min="16123" max="16124" width="3.6640625" style="77" customWidth="1"/>
    <col min="16125" max="16125" width="52.33203125" style="77" customWidth="1"/>
    <col min="16126" max="16126" width="11.44140625" style="77" bestFit="1" customWidth="1"/>
    <col min="16127" max="16127" width="0" style="77" hidden="1" customWidth="1"/>
    <col min="16128" max="16132" width="9.6640625" style="77" bestFit="1" customWidth="1"/>
    <col min="16133" max="16384" width="9.33203125" style="77"/>
  </cols>
  <sheetData>
    <row r="2" spans="2:8" ht="13.95" customHeight="1" x14ac:dyDescent="0.3">
      <c r="B2" s="630" t="s">
        <v>646</v>
      </c>
      <c r="C2" s="631"/>
      <c r="D2" s="631"/>
      <c r="E2" s="631"/>
      <c r="F2" s="631"/>
      <c r="G2" s="631"/>
    </row>
    <row r="3" spans="2:8" ht="13.95" customHeight="1" x14ac:dyDescent="0.3">
      <c r="B3" s="630" t="s">
        <v>647</v>
      </c>
      <c r="C3" s="631"/>
      <c r="D3" s="631"/>
      <c r="E3" s="631"/>
      <c r="F3" s="631"/>
      <c r="G3" s="631"/>
    </row>
    <row r="4" spans="2:8" ht="12.75" customHeight="1" x14ac:dyDescent="0.3">
      <c r="B4" s="633" t="str">
        <f>F5B!B4</f>
        <v>CHHATTISGARH STATE POWER TRANSMISSION COMPANY LIMITED</v>
      </c>
      <c r="C4" s="634"/>
      <c r="D4" s="634"/>
      <c r="E4" s="634"/>
      <c r="F4" s="634"/>
      <c r="G4" s="634"/>
    </row>
    <row r="5" spans="2:8" ht="27.6" x14ac:dyDescent="0.3">
      <c r="B5" s="387" t="s">
        <v>1</v>
      </c>
      <c r="C5" s="388" t="s">
        <v>2</v>
      </c>
      <c r="D5" s="389" t="s">
        <v>26</v>
      </c>
      <c r="E5" s="389" t="s">
        <v>27</v>
      </c>
      <c r="F5" s="389" t="s">
        <v>648</v>
      </c>
      <c r="G5" s="389" t="s">
        <v>649</v>
      </c>
    </row>
    <row r="6" spans="2:8" x14ac:dyDescent="0.3">
      <c r="B6" s="392"/>
      <c r="C6" s="642"/>
      <c r="D6" s="643"/>
      <c r="E6" s="643"/>
      <c r="F6" s="644"/>
    </row>
    <row r="7" spans="2:8" x14ac:dyDescent="0.3">
      <c r="B7" s="331">
        <v>1</v>
      </c>
      <c r="C7" s="390" t="s">
        <v>650</v>
      </c>
      <c r="D7" s="338">
        <f>[22]PPE!$Q$21/10^7</f>
        <v>1457.564636285</v>
      </c>
      <c r="E7" s="333">
        <f>[45]PPE!$Q$21/10^7</f>
        <v>1683.0027638154336</v>
      </c>
      <c r="F7" s="333">
        <f>[24]PPE!$Q$21/10^7</f>
        <v>1931.3587223448676</v>
      </c>
      <c r="G7" s="333">
        <f>[25]PPE!$Q$41/10^2</f>
        <v>2201.797998174301</v>
      </c>
      <c r="H7" s="364" t="s">
        <v>651</v>
      </c>
    </row>
    <row r="8" spans="2:8" x14ac:dyDescent="0.3">
      <c r="B8" s="331">
        <v>2</v>
      </c>
      <c r="C8" s="390" t="s">
        <v>652</v>
      </c>
      <c r="D8" s="346"/>
      <c r="E8" s="334"/>
      <c r="F8" s="333"/>
      <c r="G8" s="333"/>
    </row>
    <row r="9" spans="2:8" x14ac:dyDescent="0.3">
      <c r="B9" s="331">
        <v>3</v>
      </c>
      <c r="C9" s="390" t="s">
        <v>653</v>
      </c>
      <c r="D9" s="346">
        <f>'F3 (2)'!D12</f>
        <v>567.90183815372984</v>
      </c>
      <c r="E9" s="333">
        <f>'F3 (2)'!E12</f>
        <v>396.76</v>
      </c>
      <c r="F9" s="333">
        <f>'F5'!M14</f>
        <v>339.43339719999858</v>
      </c>
      <c r="G9" s="333">
        <f>'F5'!O14</f>
        <v>134.82529275899878</v>
      </c>
    </row>
    <row r="10" spans="2:8" x14ac:dyDescent="0.3">
      <c r="B10" s="331">
        <v>4</v>
      </c>
      <c r="C10" s="390" t="s">
        <v>654</v>
      </c>
      <c r="D10" s="346">
        <f>'F6'!I21</f>
        <v>208.51356277089994</v>
      </c>
      <c r="E10" s="346">
        <f>'F6'!K21</f>
        <v>231.99875801655651</v>
      </c>
      <c r="F10" s="333">
        <f>'F6'!M14</f>
        <v>277.00026668043466</v>
      </c>
      <c r="G10" s="333">
        <f>'F6'!O14</f>
        <v>289.33453334839083</v>
      </c>
    </row>
    <row r="11" spans="2:8" x14ac:dyDescent="0.3">
      <c r="B11" s="331"/>
      <c r="C11" s="391"/>
      <c r="D11" s="346"/>
      <c r="E11" s="334"/>
      <c r="F11" s="333"/>
      <c r="G11" s="333"/>
    </row>
    <row r="12" spans="2:8" x14ac:dyDescent="0.3">
      <c r="B12" s="331">
        <v>5</v>
      </c>
      <c r="C12" s="390" t="s">
        <v>655</v>
      </c>
      <c r="D12" s="346"/>
      <c r="E12" s="334"/>
      <c r="F12" s="333"/>
      <c r="G12" s="333"/>
    </row>
    <row r="13" spans="2:8" x14ac:dyDescent="0.3">
      <c r="B13" s="331">
        <v>6</v>
      </c>
      <c r="C13" s="390" t="s">
        <v>656</v>
      </c>
      <c r="D13" s="346"/>
      <c r="E13" s="334"/>
      <c r="F13" s="333"/>
      <c r="G13" s="333"/>
    </row>
    <row r="14" spans="2:8" x14ac:dyDescent="0.3">
      <c r="B14" s="331">
        <v>7</v>
      </c>
      <c r="C14" s="390" t="s">
        <v>657</v>
      </c>
      <c r="D14" s="346"/>
      <c r="E14" s="334"/>
      <c r="F14" s="333"/>
      <c r="G14" s="333"/>
    </row>
    <row r="15" spans="2:8" x14ac:dyDescent="0.3">
      <c r="B15" s="331">
        <v>8</v>
      </c>
      <c r="C15" s="391" t="s">
        <v>658</v>
      </c>
      <c r="D15" s="346"/>
      <c r="E15" s="334"/>
      <c r="F15" s="333"/>
      <c r="G15" s="333"/>
    </row>
    <row r="16" spans="2:8" x14ac:dyDescent="0.3">
      <c r="B16" s="331">
        <v>9</v>
      </c>
      <c r="C16" s="390" t="s">
        <v>659</v>
      </c>
      <c r="D16" s="346"/>
      <c r="E16" s="334"/>
      <c r="F16" s="333"/>
      <c r="G16" s="334"/>
    </row>
    <row r="17" spans="2:7" ht="27.6" x14ac:dyDescent="0.3">
      <c r="B17" s="331">
        <v>10</v>
      </c>
      <c r="C17" s="390" t="s">
        <v>660</v>
      </c>
      <c r="D17" s="346"/>
      <c r="E17" s="334"/>
      <c r="F17" s="333"/>
      <c r="G17" s="334"/>
    </row>
    <row r="18" spans="2:7" ht="27.6" x14ac:dyDescent="0.3">
      <c r="B18" s="331">
        <v>11</v>
      </c>
      <c r="C18" s="390" t="s">
        <v>661</v>
      </c>
      <c r="D18" s="346">
        <f>D7+D10</f>
        <v>1666.0781990558999</v>
      </c>
      <c r="E18" s="472">
        <f>E7+E10</f>
        <v>1915.00152183199</v>
      </c>
      <c r="F18" s="473">
        <f>F7+F10</f>
        <v>2208.3589890253024</v>
      </c>
      <c r="G18" s="473">
        <f>G7+G10</f>
        <v>2491.1325315226918</v>
      </c>
    </row>
    <row r="19" spans="2:7" x14ac:dyDescent="0.3">
      <c r="B19" s="450"/>
      <c r="C19" s="451" t="s">
        <v>606</v>
      </c>
      <c r="D19" s="452"/>
      <c r="E19" s="474"/>
      <c r="F19" s="453"/>
      <c r="G19" s="334"/>
    </row>
    <row r="20" spans="2:7" x14ac:dyDescent="0.3">
      <c r="B20" s="392"/>
      <c r="C20" s="110" t="s">
        <v>662</v>
      </c>
      <c r="D20" s="103"/>
      <c r="E20" s="133"/>
      <c r="F20" s="393"/>
      <c r="G20" s="334"/>
    </row>
    <row r="21" spans="2:7" x14ac:dyDescent="0.3">
      <c r="B21" s="394"/>
      <c r="C21" s="395" t="s">
        <v>645</v>
      </c>
      <c r="D21" s="407"/>
      <c r="E21" s="405"/>
      <c r="F21" s="396"/>
      <c r="G21" s="334"/>
    </row>
    <row r="22" spans="2:7" ht="12.75" hidden="1" customHeight="1" x14ac:dyDescent="0.3">
      <c r="C22" s="129" t="s">
        <v>663</v>
      </c>
    </row>
  </sheetData>
  <mergeCells count="4">
    <mergeCell ref="C6:F6"/>
    <mergeCell ref="B4:G4"/>
    <mergeCell ref="B3:G3"/>
    <mergeCell ref="B2:G2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B2:IF20"/>
  <sheetViews>
    <sheetView showGridLines="0" view="pageBreakPreview" topLeftCell="C1" zoomScale="90" zoomScaleNormal="100" zoomScaleSheetLayoutView="90" workbookViewId="0">
      <selection activeCell="H10" sqref="H10"/>
    </sheetView>
  </sheetViews>
  <sheetFormatPr defaultRowHeight="13.8" x14ac:dyDescent="0.3"/>
  <cols>
    <col min="1" max="1" width="3.33203125" style="77" customWidth="1"/>
    <col min="2" max="2" width="9.33203125" style="92"/>
    <col min="3" max="3" width="44.6640625" style="77" customWidth="1"/>
    <col min="4" max="4" width="10.33203125" style="77" customWidth="1"/>
    <col min="5" max="6" width="11.44140625" style="77" customWidth="1"/>
    <col min="7" max="7" width="11.44140625" style="77" bestFit="1" customWidth="1"/>
    <col min="8" max="250" width="9.33203125" style="77"/>
    <col min="251" max="251" width="3.33203125" style="77" customWidth="1"/>
    <col min="252" max="252" width="9.33203125" style="77"/>
    <col min="253" max="253" width="44.6640625" style="77" customWidth="1"/>
    <col min="254" max="259" width="10.33203125" style="77" customWidth="1"/>
    <col min="260" max="260" width="10.6640625" style="77" customWidth="1"/>
    <col min="261" max="506" width="9.33203125" style="77"/>
    <col min="507" max="507" width="3.33203125" style="77" customWidth="1"/>
    <col min="508" max="508" width="9.33203125" style="77"/>
    <col min="509" max="509" width="44.6640625" style="77" customWidth="1"/>
    <col min="510" max="515" width="10.33203125" style="77" customWidth="1"/>
    <col min="516" max="516" width="10.6640625" style="77" customWidth="1"/>
    <col min="517" max="762" width="9.33203125" style="77"/>
    <col min="763" max="763" width="3.33203125" style="77" customWidth="1"/>
    <col min="764" max="764" width="9.33203125" style="77"/>
    <col min="765" max="765" width="44.6640625" style="77" customWidth="1"/>
    <col min="766" max="771" width="10.33203125" style="77" customWidth="1"/>
    <col min="772" max="772" width="10.6640625" style="77" customWidth="1"/>
    <col min="773" max="1018" width="9.33203125" style="77"/>
    <col min="1019" max="1019" width="3.33203125" style="77" customWidth="1"/>
    <col min="1020" max="1020" width="9.33203125" style="77"/>
    <col min="1021" max="1021" width="44.6640625" style="77" customWidth="1"/>
    <col min="1022" max="1027" width="10.33203125" style="77" customWidth="1"/>
    <col min="1028" max="1028" width="10.6640625" style="77" customWidth="1"/>
    <col min="1029" max="1274" width="9.33203125" style="77"/>
    <col min="1275" max="1275" width="3.33203125" style="77" customWidth="1"/>
    <col min="1276" max="1276" width="9.33203125" style="77"/>
    <col min="1277" max="1277" width="44.6640625" style="77" customWidth="1"/>
    <col min="1278" max="1283" width="10.33203125" style="77" customWidth="1"/>
    <col min="1284" max="1284" width="10.6640625" style="77" customWidth="1"/>
    <col min="1285" max="1530" width="9.33203125" style="77"/>
    <col min="1531" max="1531" width="3.33203125" style="77" customWidth="1"/>
    <col min="1532" max="1532" width="9.33203125" style="77"/>
    <col min="1533" max="1533" width="44.6640625" style="77" customWidth="1"/>
    <col min="1534" max="1539" width="10.33203125" style="77" customWidth="1"/>
    <col min="1540" max="1540" width="10.6640625" style="77" customWidth="1"/>
    <col min="1541" max="1786" width="9.33203125" style="77"/>
    <col min="1787" max="1787" width="3.33203125" style="77" customWidth="1"/>
    <col min="1788" max="1788" width="9.33203125" style="77"/>
    <col min="1789" max="1789" width="44.6640625" style="77" customWidth="1"/>
    <col min="1790" max="1795" width="10.33203125" style="77" customWidth="1"/>
    <col min="1796" max="1796" width="10.6640625" style="77" customWidth="1"/>
    <col min="1797" max="2042" width="9.33203125" style="77"/>
    <col min="2043" max="2043" width="3.33203125" style="77" customWidth="1"/>
    <col min="2044" max="2044" width="9.33203125" style="77"/>
    <col min="2045" max="2045" width="44.6640625" style="77" customWidth="1"/>
    <col min="2046" max="2051" width="10.33203125" style="77" customWidth="1"/>
    <col min="2052" max="2052" width="10.6640625" style="77" customWidth="1"/>
    <col min="2053" max="2298" width="9.33203125" style="77"/>
    <col min="2299" max="2299" width="3.33203125" style="77" customWidth="1"/>
    <col min="2300" max="2300" width="9.33203125" style="77"/>
    <col min="2301" max="2301" width="44.6640625" style="77" customWidth="1"/>
    <col min="2302" max="2307" width="10.33203125" style="77" customWidth="1"/>
    <col min="2308" max="2308" width="10.6640625" style="77" customWidth="1"/>
    <col min="2309" max="2554" width="9.33203125" style="77"/>
    <col min="2555" max="2555" width="3.33203125" style="77" customWidth="1"/>
    <col min="2556" max="2556" width="9.33203125" style="77"/>
    <col min="2557" max="2557" width="44.6640625" style="77" customWidth="1"/>
    <col min="2558" max="2563" width="10.33203125" style="77" customWidth="1"/>
    <col min="2564" max="2564" width="10.6640625" style="77" customWidth="1"/>
    <col min="2565" max="2810" width="9.33203125" style="77"/>
    <col min="2811" max="2811" width="3.33203125" style="77" customWidth="1"/>
    <col min="2812" max="2812" width="9.33203125" style="77"/>
    <col min="2813" max="2813" width="44.6640625" style="77" customWidth="1"/>
    <col min="2814" max="2819" width="10.33203125" style="77" customWidth="1"/>
    <col min="2820" max="2820" width="10.6640625" style="77" customWidth="1"/>
    <col min="2821" max="3066" width="9.33203125" style="77"/>
    <col min="3067" max="3067" width="3.33203125" style="77" customWidth="1"/>
    <col min="3068" max="3068" width="9.33203125" style="77"/>
    <col min="3069" max="3069" width="44.6640625" style="77" customWidth="1"/>
    <col min="3070" max="3075" width="10.33203125" style="77" customWidth="1"/>
    <col min="3076" max="3076" width="10.6640625" style="77" customWidth="1"/>
    <col min="3077" max="3322" width="9.33203125" style="77"/>
    <col min="3323" max="3323" width="3.33203125" style="77" customWidth="1"/>
    <col min="3324" max="3324" width="9.33203125" style="77"/>
    <col min="3325" max="3325" width="44.6640625" style="77" customWidth="1"/>
    <col min="3326" max="3331" width="10.33203125" style="77" customWidth="1"/>
    <col min="3332" max="3332" width="10.6640625" style="77" customWidth="1"/>
    <col min="3333" max="3578" width="9.33203125" style="77"/>
    <col min="3579" max="3579" width="3.33203125" style="77" customWidth="1"/>
    <col min="3580" max="3580" width="9.33203125" style="77"/>
    <col min="3581" max="3581" width="44.6640625" style="77" customWidth="1"/>
    <col min="3582" max="3587" width="10.33203125" style="77" customWidth="1"/>
    <col min="3588" max="3588" width="10.6640625" style="77" customWidth="1"/>
    <col min="3589" max="3834" width="9.33203125" style="77"/>
    <col min="3835" max="3835" width="3.33203125" style="77" customWidth="1"/>
    <col min="3836" max="3836" width="9.33203125" style="77"/>
    <col min="3837" max="3837" width="44.6640625" style="77" customWidth="1"/>
    <col min="3838" max="3843" width="10.33203125" style="77" customWidth="1"/>
    <col min="3844" max="3844" width="10.6640625" style="77" customWidth="1"/>
    <col min="3845" max="4090" width="9.33203125" style="77"/>
    <col min="4091" max="4091" width="3.33203125" style="77" customWidth="1"/>
    <col min="4092" max="4092" width="9.33203125" style="77"/>
    <col min="4093" max="4093" width="44.6640625" style="77" customWidth="1"/>
    <col min="4094" max="4099" width="10.33203125" style="77" customWidth="1"/>
    <col min="4100" max="4100" width="10.6640625" style="77" customWidth="1"/>
    <col min="4101" max="4346" width="9.33203125" style="77"/>
    <col min="4347" max="4347" width="3.33203125" style="77" customWidth="1"/>
    <col min="4348" max="4348" width="9.33203125" style="77"/>
    <col min="4349" max="4349" width="44.6640625" style="77" customWidth="1"/>
    <col min="4350" max="4355" width="10.33203125" style="77" customWidth="1"/>
    <col min="4356" max="4356" width="10.6640625" style="77" customWidth="1"/>
    <col min="4357" max="4602" width="9.33203125" style="77"/>
    <col min="4603" max="4603" width="3.33203125" style="77" customWidth="1"/>
    <col min="4604" max="4604" width="9.33203125" style="77"/>
    <col min="4605" max="4605" width="44.6640625" style="77" customWidth="1"/>
    <col min="4606" max="4611" width="10.33203125" style="77" customWidth="1"/>
    <col min="4612" max="4612" width="10.6640625" style="77" customWidth="1"/>
    <col min="4613" max="4858" width="9.33203125" style="77"/>
    <col min="4859" max="4859" width="3.33203125" style="77" customWidth="1"/>
    <col min="4860" max="4860" width="9.33203125" style="77"/>
    <col min="4861" max="4861" width="44.6640625" style="77" customWidth="1"/>
    <col min="4862" max="4867" width="10.33203125" style="77" customWidth="1"/>
    <col min="4868" max="4868" width="10.6640625" style="77" customWidth="1"/>
    <col min="4869" max="5114" width="9.33203125" style="77"/>
    <col min="5115" max="5115" width="3.33203125" style="77" customWidth="1"/>
    <col min="5116" max="5116" width="9.33203125" style="77"/>
    <col min="5117" max="5117" width="44.6640625" style="77" customWidth="1"/>
    <col min="5118" max="5123" width="10.33203125" style="77" customWidth="1"/>
    <col min="5124" max="5124" width="10.6640625" style="77" customWidth="1"/>
    <col min="5125" max="5370" width="9.33203125" style="77"/>
    <col min="5371" max="5371" width="3.33203125" style="77" customWidth="1"/>
    <col min="5372" max="5372" width="9.33203125" style="77"/>
    <col min="5373" max="5373" width="44.6640625" style="77" customWidth="1"/>
    <col min="5374" max="5379" width="10.33203125" style="77" customWidth="1"/>
    <col min="5380" max="5380" width="10.6640625" style="77" customWidth="1"/>
    <col min="5381" max="5626" width="9.33203125" style="77"/>
    <col min="5627" max="5627" width="3.33203125" style="77" customWidth="1"/>
    <col min="5628" max="5628" width="9.33203125" style="77"/>
    <col min="5629" max="5629" width="44.6640625" style="77" customWidth="1"/>
    <col min="5630" max="5635" width="10.33203125" style="77" customWidth="1"/>
    <col min="5636" max="5636" width="10.6640625" style="77" customWidth="1"/>
    <col min="5637" max="5882" width="9.33203125" style="77"/>
    <col min="5883" max="5883" width="3.33203125" style="77" customWidth="1"/>
    <col min="5884" max="5884" width="9.33203125" style="77"/>
    <col min="5885" max="5885" width="44.6640625" style="77" customWidth="1"/>
    <col min="5886" max="5891" width="10.33203125" style="77" customWidth="1"/>
    <col min="5892" max="5892" width="10.6640625" style="77" customWidth="1"/>
    <col min="5893" max="6138" width="9.33203125" style="77"/>
    <col min="6139" max="6139" width="3.33203125" style="77" customWidth="1"/>
    <col min="6140" max="6140" width="9.33203125" style="77"/>
    <col min="6141" max="6141" width="44.6640625" style="77" customWidth="1"/>
    <col min="6142" max="6147" width="10.33203125" style="77" customWidth="1"/>
    <col min="6148" max="6148" width="10.6640625" style="77" customWidth="1"/>
    <col min="6149" max="6394" width="9.33203125" style="77"/>
    <col min="6395" max="6395" width="3.33203125" style="77" customWidth="1"/>
    <col min="6396" max="6396" width="9.33203125" style="77"/>
    <col min="6397" max="6397" width="44.6640625" style="77" customWidth="1"/>
    <col min="6398" max="6403" width="10.33203125" style="77" customWidth="1"/>
    <col min="6404" max="6404" width="10.6640625" style="77" customWidth="1"/>
    <col min="6405" max="6650" width="9.33203125" style="77"/>
    <col min="6651" max="6651" width="3.33203125" style="77" customWidth="1"/>
    <col min="6652" max="6652" width="9.33203125" style="77"/>
    <col min="6653" max="6653" width="44.6640625" style="77" customWidth="1"/>
    <col min="6654" max="6659" width="10.33203125" style="77" customWidth="1"/>
    <col min="6660" max="6660" width="10.6640625" style="77" customWidth="1"/>
    <col min="6661" max="6906" width="9.33203125" style="77"/>
    <col min="6907" max="6907" width="3.33203125" style="77" customWidth="1"/>
    <col min="6908" max="6908" width="9.33203125" style="77"/>
    <col min="6909" max="6909" width="44.6640625" style="77" customWidth="1"/>
    <col min="6910" max="6915" width="10.33203125" style="77" customWidth="1"/>
    <col min="6916" max="6916" width="10.6640625" style="77" customWidth="1"/>
    <col min="6917" max="7162" width="9.33203125" style="77"/>
    <col min="7163" max="7163" width="3.33203125" style="77" customWidth="1"/>
    <col min="7164" max="7164" width="9.33203125" style="77"/>
    <col min="7165" max="7165" width="44.6640625" style="77" customWidth="1"/>
    <col min="7166" max="7171" width="10.33203125" style="77" customWidth="1"/>
    <col min="7172" max="7172" width="10.6640625" style="77" customWidth="1"/>
    <col min="7173" max="7418" width="9.33203125" style="77"/>
    <col min="7419" max="7419" width="3.33203125" style="77" customWidth="1"/>
    <col min="7420" max="7420" width="9.33203125" style="77"/>
    <col min="7421" max="7421" width="44.6640625" style="77" customWidth="1"/>
    <col min="7422" max="7427" width="10.33203125" style="77" customWidth="1"/>
    <col min="7428" max="7428" width="10.6640625" style="77" customWidth="1"/>
    <col min="7429" max="7674" width="9.33203125" style="77"/>
    <col min="7675" max="7675" width="3.33203125" style="77" customWidth="1"/>
    <col min="7676" max="7676" width="9.33203125" style="77"/>
    <col min="7677" max="7677" width="44.6640625" style="77" customWidth="1"/>
    <col min="7678" max="7683" width="10.33203125" style="77" customWidth="1"/>
    <col min="7684" max="7684" width="10.6640625" style="77" customWidth="1"/>
    <col min="7685" max="7930" width="9.33203125" style="77"/>
    <col min="7931" max="7931" width="3.33203125" style="77" customWidth="1"/>
    <col min="7932" max="7932" width="9.33203125" style="77"/>
    <col min="7933" max="7933" width="44.6640625" style="77" customWidth="1"/>
    <col min="7934" max="7939" width="10.33203125" style="77" customWidth="1"/>
    <col min="7940" max="7940" width="10.6640625" style="77" customWidth="1"/>
    <col min="7941" max="8186" width="9.33203125" style="77"/>
    <col min="8187" max="8187" width="3.33203125" style="77" customWidth="1"/>
    <col min="8188" max="8188" width="9.33203125" style="77"/>
    <col min="8189" max="8189" width="44.6640625" style="77" customWidth="1"/>
    <col min="8190" max="8195" width="10.33203125" style="77" customWidth="1"/>
    <col min="8196" max="8196" width="10.6640625" style="77" customWidth="1"/>
    <col min="8197" max="8442" width="9.33203125" style="77"/>
    <col min="8443" max="8443" width="3.33203125" style="77" customWidth="1"/>
    <col min="8444" max="8444" width="9.33203125" style="77"/>
    <col min="8445" max="8445" width="44.6640625" style="77" customWidth="1"/>
    <col min="8446" max="8451" width="10.33203125" style="77" customWidth="1"/>
    <col min="8452" max="8452" width="10.6640625" style="77" customWidth="1"/>
    <col min="8453" max="8698" width="9.33203125" style="77"/>
    <col min="8699" max="8699" width="3.33203125" style="77" customWidth="1"/>
    <col min="8700" max="8700" width="9.33203125" style="77"/>
    <col min="8701" max="8701" width="44.6640625" style="77" customWidth="1"/>
    <col min="8702" max="8707" width="10.33203125" style="77" customWidth="1"/>
    <col min="8708" max="8708" width="10.6640625" style="77" customWidth="1"/>
    <col min="8709" max="8954" width="9.33203125" style="77"/>
    <col min="8955" max="8955" width="3.33203125" style="77" customWidth="1"/>
    <col min="8956" max="8956" width="9.33203125" style="77"/>
    <col min="8957" max="8957" width="44.6640625" style="77" customWidth="1"/>
    <col min="8958" max="8963" width="10.33203125" style="77" customWidth="1"/>
    <col min="8964" max="8964" width="10.6640625" style="77" customWidth="1"/>
    <col min="8965" max="9210" width="9.33203125" style="77"/>
    <col min="9211" max="9211" width="3.33203125" style="77" customWidth="1"/>
    <col min="9212" max="9212" width="9.33203125" style="77"/>
    <col min="9213" max="9213" width="44.6640625" style="77" customWidth="1"/>
    <col min="9214" max="9219" width="10.33203125" style="77" customWidth="1"/>
    <col min="9220" max="9220" width="10.6640625" style="77" customWidth="1"/>
    <col min="9221" max="9466" width="9.33203125" style="77"/>
    <col min="9467" max="9467" width="3.33203125" style="77" customWidth="1"/>
    <col min="9468" max="9468" width="9.33203125" style="77"/>
    <col min="9469" max="9469" width="44.6640625" style="77" customWidth="1"/>
    <col min="9470" max="9475" width="10.33203125" style="77" customWidth="1"/>
    <col min="9476" max="9476" width="10.6640625" style="77" customWidth="1"/>
    <col min="9477" max="9722" width="9.33203125" style="77"/>
    <col min="9723" max="9723" width="3.33203125" style="77" customWidth="1"/>
    <col min="9724" max="9724" width="9.33203125" style="77"/>
    <col min="9725" max="9725" width="44.6640625" style="77" customWidth="1"/>
    <col min="9726" max="9731" width="10.33203125" style="77" customWidth="1"/>
    <col min="9732" max="9732" width="10.6640625" style="77" customWidth="1"/>
    <col min="9733" max="9978" width="9.33203125" style="77"/>
    <col min="9979" max="9979" width="3.33203125" style="77" customWidth="1"/>
    <col min="9980" max="9980" width="9.33203125" style="77"/>
    <col min="9981" max="9981" width="44.6640625" style="77" customWidth="1"/>
    <col min="9982" max="9987" width="10.33203125" style="77" customWidth="1"/>
    <col min="9988" max="9988" width="10.6640625" style="77" customWidth="1"/>
    <col min="9989" max="10234" width="9.33203125" style="77"/>
    <col min="10235" max="10235" width="3.33203125" style="77" customWidth="1"/>
    <col min="10236" max="10236" width="9.33203125" style="77"/>
    <col min="10237" max="10237" width="44.6640625" style="77" customWidth="1"/>
    <col min="10238" max="10243" width="10.33203125" style="77" customWidth="1"/>
    <col min="10244" max="10244" width="10.6640625" style="77" customWidth="1"/>
    <col min="10245" max="10490" width="9.33203125" style="77"/>
    <col min="10491" max="10491" width="3.33203125" style="77" customWidth="1"/>
    <col min="10492" max="10492" width="9.33203125" style="77"/>
    <col min="10493" max="10493" width="44.6640625" style="77" customWidth="1"/>
    <col min="10494" max="10499" width="10.33203125" style="77" customWidth="1"/>
    <col min="10500" max="10500" width="10.6640625" style="77" customWidth="1"/>
    <col min="10501" max="10746" width="9.33203125" style="77"/>
    <col min="10747" max="10747" width="3.33203125" style="77" customWidth="1"/>
    <col min="10748" max="10748" width="9.33203125" style="77"/>
    <col min="10749" max="10749" width="44.6640625" style="77" customWidth="1"/>
    <col min="10750" max="10755" width="10.33203125" style="77" customWidth="1"/>
    <col min="10756" max="10756" width="10.6640625" style="77" customWidth="1"/>
    <col min="10757" max="11002" width="9.33203125" style="77"/>
    <col min="11003" max="11003" width="3.33203125" style="77" customWidth="1"/>
    <col min="11004" max="11004" width="9.33203125" style="77"/>
    <col min="11005" max="11005" width="44.6640625" style="77" customWidth="1"/>
    <col min="11006" max="11011" width="10.33203125" style="77" customWidth="1"/>
    <col min="11012" max="11012" width="10.6640625" style="77" customWidth="1"/>
    <col min="11013" max="11258" width="9.33203125" style="77"/>
    <col min="11259" max="11259" width="3.33203125" style="77" customWidth="1"/>
    <col min="11260" max="11260" width="9.33203125" style="77"/>
    <col min="11261" max="11261" width="44.6640625" style="77" customWidth="1"/>
    <col min="11262" max="11267" width="10.33203125" style="77" customWidth="1"/>
    <col min="11268" max="11268" width="10.6640625" style="77" customWidth="1"/>
    <col min="11269" max="11514" width="9.33203125" style="77"/>
    <col min="11515" max="11515" width="3.33203125" style="77" customWidth="1"/>
    <col min="11516" max="11516" width="9.33203125" style="77"/>
    <col min="11517" max="11517" width="44.6640625" style="77" customWidth="1"/>
    <col min="11518" max="11523" width="10.33203125" style="77" customWidth="1"/>
    <col min="11524" max="11524" width="10.6640625" style="77" customWidth="1"/>
    <col min="11525" max="11770" width="9.33203125" style="77"/>
    <col min="11771" max="11771" width="3.33203125" style="77" customWidth="1"/>
    <col min="11772" max="11772" width="9.33203125" style="77"/>
    <col min="11773" max="11773" width="44.6640625" style="77" customWidth="1"/>
    <col min="11774" max="11779" width="10.33203125" style="77" customWidth="1"/>
    <col min="11780" max="11780" width="10.6640625" style="77" customWidth="1"/>
    <col min="11781" max="12026" width="9.33203125" style="77"/>
    <col min="12027" max="12027" width="3.33203125" style="77" customWidth="1"/>
    <col min="12028" max="12028" width="9.33203125" style="77"/>
    <col min="12029" max="12029" width="44.6640625" style="77" customWidth="1"/>
    <col min="12030" max="12035" width="10.33203125" style="77" customWidth="1"/>
    <col min="12036" max="12036" width="10.6640625" style="77" customWidth="1"/>
    <col min="12037" max="12282" width="9.33203125" style="77"/>
    <col min="12283" max="12283" width="3.33203125" style="77" customWidth="1"/>
    <col min="12284" max="12284" width="9.33203125" style="77"/>
    <col min="12285" max="12285" width="44.6640625" style="77" customWidth="1"/>
    <col min="12286" max="12291" width="10.33203125" style="77" customWidth="1"/>
    <col min="12292" max="12292" width="10.6640625" style="77" customWidth="1"/>
    <col min="12293" max="12538" width="9.33203125" style="77"/>
    <col min="12539" max="12539" width="3.33203125" style="77" customWidth="1"/>
    <col min="12540" max="12540" width="9.33203125" style="77"/>
    <col min="12541" max="12541" width="44.6640625" style="77" customWidth="1"/>
    <col min="12542" max="12547" width="10.33203125" style="77" customWidth="1"/>
    <col min="12548" max="12548" width="10.6640625" style="77" customWidth="1"/>
    <col min="12549" max="12794" width="9.33203125" style="77"/>
    <col min="12795" max="12795" width="3.33203125" style="77" customWidth="1"/>
    <col min="12796" max="12796" width="9.33203125" style="77"/>
    <col min="12797" max="12797" width="44.6640625" style="77" customWidth="1"/>
    <col min="12798" max="12803" width="10.33203125" style="77" customWidth="1"/>
    <col min="12804" max="12804" width="10.6640625" style="77" customWidth="1"/>
    <col min="12805" max="13050" width="9.33203125" style="77"/>
    <col min="13051" max="13051" width="3.33203125" style="77" customWidth="1"/>
    <col min="13052" max="13052" width="9.33203125" style="77"/>
    <col min="13053" max="13053" width="44.6640625" style="77" customWidth="1"/>
    <col min="13054" max="13059" width="10.33203125" style="77" customWidth="1"/>
    <col min="13060" max="13060" width="10.6640625" style="77" customWidth="1"/>
    <col min="13061" max="13306" width="9.33203125" style="77"/>
    <col min="13307" max="13307" width="3.33203125" style="77" customWidth="1"/>
    <col min="13308" max="13308" width="9.33203125" style="77"/>
    <col min="13309" max="13309" width="44.6640625" style="77" customWidth="1"/>
    <col min="13310" max="13315" width="10.33203125" style="77" customWidth="1"/>
    <col min="13316" max="13316" width="10.6640625" style="77" customWidth="1"/>
    <col min="13317" max="13562" width="9.33203125" style="77"/>
    <col min="13563" max="13563" width="3.33203125" style="77" customWidth="1"/>
    <col min="13564" max="13564" width="9.33203125" style="77"/>
    <col min="13565" max="13565" width="44.6640625" style="77" customWidth="1"/>
    <col min="13566" max="13571" width="10.33203125" style="77" customWidth="1"/>
    <col min="13572" max="13572" width="10.6640625" style="77" customWidth="1"/>
    <col min="13573" max="13818" width="9.33203125" style="77"/>
    <col min="13819" max="13819" width="3.33203125" style="77" customWidth="1"/>
    <col min="13820" max="13820" width="9.33203125" style="77"/>
    <col min="13821" max="13821" width="44.6640625" style="77" customWidth="1"/>
    <col min="13822" max="13827" width="10.33203125" style="77" customWidth="1"/>
    <col min="13828" max="13828" width="10.6640625" style="77" customWidth="1"/>
    <col min="13829" max="14074" width="9.33203125" style="77"/>
    <col min="14075" max="14075" width="3.33203125" style="77" customWidth="1"/>
    <col min="14076" max="14076" width="9.33203125" style="77"/>
    <col min="14077" max="14077" width="44.6640625" style="77" customWidth="1"/>
    <col min="14078" max="14083" width="10.33203125" style="77" customWidth="1"/>
    <col min="14084" max="14084" width="10.6640625" style="77" customWidth="1"/>
    <col min="14085" max="14330" width="9.33203125" style="77"/>
    <col min="14331" max="14331" width="3.33203125" style="77" customWidth="1"/>
    <col min="14332" max="14332" width="9.33203125" style="77"/>
    <col min="14333" max="14333" width="44.6640625" style="77" customWidth="1"/>
    <col min="14334" max="14339" width="10.33203125" style="77" customWidth="1"/>
    <col min="14340" max="14340" width="10.6640625" style="77" customWidth="1"/>
    <col min="14341" max="14586" width="9.33203125" style="77"/>
    <col min="14587" max="14587" width="3.33203125" style="77" customWidth="1"/>
    <col min="14588" max="14588" width="9.33203125" style="77"/>
    <col min="14589" max="14589" width="44.6640625" style="77" customWidth="1"/>
    <col min="14590" max="14595" width="10.33203125" style="77" customWidth="1"/>
    <col min="14596" max="14596" width="10.6640625" style="77" customWidth="1"/>
    <col min="14597" max="14842" width="9.33203125" style="77"/>
    <col min="14843" max="14843" width="3.33203125" style="77" customWidth="1"/>
    <col min="14844" max="14844" width="9.33203125" style="77"/>
    <col min="14845" max="14845" width="44.6640625" style="77" customWidth="1"/>
    <col min="14846" max="14851" width="10.33203125" style="77" customWidth="1"/>
    <col min="14852" max="14852" width="10.6640625" style="77" customWidth="1"/>
    <col min="14853" max="15098" width="9.33203125" style="77"/>
    <col min="15099" max="15099" width="3.33203125" style="77" customWidth="1"/>
    <col min="15100" max="15100" width="9.33203125" style="77"/>
    <col min="15101" max="15101" width="44.6640625" style="77" customWidth="1"/>
    <col min="15102" max="15107" width="10.33203125" style="77" customWidth="1"/>
    <col min="15108" max="15108" width="10.6640625" style="77" customWidth="1"/>
    <col min="15109" max="15354" width="9.33203125" style="77"/>
    <col min="15355" max="15355" width="3.33203125" style="77" customWidth="1"/>
    <col min="15356" max="15356" width="9.33203125" style="77"/>
    <col min="15357" max="15357" width="44.6640625" style="77" customWidth="1"/>
    <col min="15358" max="15363" width="10.33203125" style="77" customWidth="1"/>
    <col min="15364" max="15364" width="10.6640625" style="77" customWidth="1"/>
    <col min="15365" max="15610" width="9.33203125" style="77"/>
    <col min="15611" max="15611" width="3.33203125" style="77" customWidth="1"/>
    <col min="15612" max="15612" width="9.33203125" style="77"/>
    <col min="15613" max="15613" width="44.6640625" style="77" customWidth="1"/>
    <col min="15614" max="15619" width="10.33203125" style="77" customWidth="1"/>
    <col min="15620" max="15620" width="10.6640625" style="77" customWidth="1"/>
    <col min="15621" max="15866" width="9.33203125" style="77"/>
    <col min="15867" max="15867" width="3.33203125" style="77" customWidth="1"/>
    <col min="15868" max="15868" width="9.33203125" style="77"/>
    <col min="15869" max="15869" width="44.6640625" style="77" customWidth="1"/>
    <col min="15870" max="15875" width="10.33203125" style="77" customWidth="1"/>
    <col min="15876" max="15876" width="10.6640625" style="77" customWidth="1"/>
    <col min="15877" max="16122" width="9.33203125" style="77"/>
    <col min="16123" max="16123" width="3.33203125" style="77" customWidth="1"/>
    <col min="16124" max="16124" width="9.33203125" style="77"/>
    <col min="16125" max="16125" width="44.6640625" style="77" customWidth="1"/>
    <col min="16126" max="16131" width="10.33203125" style="77" customWidth="1"/>
    <col min="16132" max="16132" width="10.6640625" style="77" customWidth="1"/>
    <col min="16133" max="16384" width="9.33203125" style="77"/>
  </cols>
  <sheetData>
    <row r="2" spans="2:240" x14ac:dyDescent="0.3">
      <c r="B2" s="630" t="s">
        <v>664</v>
      </c>
      <c r="C2" s="631"/>
      <c r="D2" s="631"/>
      <c r="E2" s="631"/>
      <c r="F2" s="631"/>
      <c r="G2" s="631"/>
    </row>
    <row r="3" spans="2:240" ht="13.2" customHeight="1" x14ac:dyDescent="0.3">
      <c r="B3" s="630" t="s">
        <v>665</v>
      </c>
      <c r="C3" s="631"/>
      <c r="D3" s="631"/>
      <c r="E3" s="631"/>
      <c r="F3" s="631"/>
      <c r="G3" s="631"/>
    </row>
    <row r="4" spans="2:240" ht="12.75" customHeight="1" x14ac:dyDescent="0.3">
      <c r="B4" s="633" t="str">
        <f>'F6 (2)'!B4:D4</f>
        <v>CHHATTISGARH STATE POWER TRANSMISSION COMPANY LIMITED</v>
      </c>
      <c r="C4" s="634"/>
      <c r="D4" s="634"/>
      <c r="E4" s="634"/>
      <c r="F4" s="634"/>
      <c r="G4" s="634"/>
    </row>
    <row r="5" spans="2:240" ht="27.6" x14ac:dyDescent="0.3">
      <c r="B5" s="387" t="s">
        <v>1</v>
      </c>
      <c r="C5" s="388" t="s">
        <v>2</v>
      </c>
      <c r="D5" s="388" t="s">
        <v>666</v>
      </c>
      <c r="E5" s="389" t="s">
        <v>667</v>
      </c>
      <c r="F5" s="389" t="s">
        <v>668</v>
      </c>
      <c r="G5" s="389" t="s">
        <v>669</v>
      </c>
    </row>
    <row r="6" spans="2:240" x14ac:dyDescent="0.3">
      <c r="B6" s="331"/>
      <c r="C6" s="391"/>
      <c r="D6" s="334"/>
      <c r="E6" s="334"/>
    </row>
    <row r="7" spans="2:240" x14ac:dyDescent="0.3">
      <c r="B7" s="331">
        <f>[44]CR!B92</f>
        <v>1</v>
      </c>
      <c r="C7" s="332" t="str">
        <f>[44]CR!C92</f>
        <v>Borrowed Loan in Opening GFA</v>
      </c>
      <c r="D7" s="343">
        <f>'F5'!I66</f>
        <v>2656.4783603238002</v>
      </c>
      <c r="E7" s="333">
        <f>'F5'!K66</f>
        <v>3054.0096470314106</v>
      </c>
      <c r="F7" s="333">
        <f>'F5'!M66</f>
        <v>3431.129647031411</v>
      </c>
      <c r="G7" s="333">
        <f>'F5'!O66</f>
        <v>3808.2496470314113</v>
      </c>
    </row>
    <row r="8" spans="2:240" x14ac:dyDescent="0.3">
      <c r="B8" s="331">
        <f>[44]CR!B93</f>
        <v>2</v>
      </c>
      <c r="C8" s="332" t="str">
        <f>[44]CR!C93</f>
        <v>Opening Normative Loan</v>
      </c>
      <c r="D8" s="343">
        <f>'F5'!I67</f>
        <v>377.12000000000035</v>
      </c>
      <c r="E8" s="334">
        <f>'F5'!K67</f>
        <v>377.12000000000035</v>
      </c>
      <c r="F8" s="333">
        <f>'F5'!M67</f>
        <v>377.12000000000035</v>
      </c>
      <c r="G8" s="333">
        <f>'F5'!O67</f>
        <v>377.12000000000035</v>
      </c>
    </row>
    <row r="9" spans="2:240" x14ac:dyDescent="0.3">
      <c r="B9" s="331">
        <f>[44]CR!B94</f>
        <v>3</v>
      </c>
      <c r="C9" s="332" t="str">
        <f>[44]CR!C94</f>
        <v>Total Opening Gross Loan</v>
      </c>
      <c r="D9" s="343">
        <f>'F5'!I68</f>
        <v>3033.5983603238005</v>
      </c>
      <c r="E9" s="333">
        <f>'F5'!K68</f>
        <v>3431.129647031411</v>
      </c>
      <c r="F9" s="333">
        <f>'F5'!M68</f>
        <v>3808.2496470314113</v>
      </c>
      <c r="G9" s="333">
        <f>'F5'!O68</f>
        <v>4185.3696470314117</v>
      </c>
    </row>
    <row r="10" spans="2:240" x14ac:dyDescent="0.3">
      <c r="B10" s="331">
        <f>[44]CR!B95</f>
        <v>4</v>
      </c>
      <c r="C10" s="332" t="str">
        <f>[44]CR!C95</f>
        <v>Repayment till previous year</v>
      </c>
      <c r="D10" s="343">
        <f>'F5'!I69</f>
        <v>927.15000000000032</v>
      </c>
      <c r="E10" s="333">
        <f>'F5'!K69</f>
        <v>1135.6635627709002</v>
      </c>
      <c r="F10" s="333">
        <f>'F5'!M69</f>
        <v>1367.6623207874568</v>
      </c>
      <c r="G10" s="333">
        <f>'F5'!O69</f>
        <v>1616.7866785280646</v>
      </c>
      <c r="H10" s="196"/>
    </row>
    <row r="11" spans="2:240" x14ac:dyDescent="0.3">
      <c r="B11" s="331">
        <f>[44]CR!B96</f>
        <v>5</v>
      </c>
      <c r="C11" s="332" t="str">
        <f>[44]CR!C96</f>
        <v>Total Opening Net Loan</v>
      </c>
      <c r="D11" s="343">
        <f>'F5'!I70</f>
        <v>1744.815717035656</v>
      </c>
      <c r="E11" s="333">
        <f>'F5'!K70</f>
        <v>1933.833440972367</v>
      </c>
      <c r="F11" s="333">
        <f>'F5'!M70</f>
        <v>1973.9806829558104</v>
      </c>
      <c r="G11" s="333">
        <f>'F5'!O70</f>
        <v>1962.56</v>
      </c>
    </row>
    <row r="12" spans="2:240" x14ac:dyDescent="0.3">
      <c r="B12" s="331">
        <f>[44]CR!B97</f>
        <v>6</v>
      </c>
      <c r="C12" s="332" t="str">
        <f>[44]CR!C97</f>
        <v>Repayment during the period</v>
      </c>
      <c r="D12" s="343">
        <f>'F5'!I71</f>
        <v>208.51356277089994</v>
      </c>
      <c r="E12" s="333">
        <f>'F5'!K71</f>
        <v>231.99875801655651</v>
      </c>
      <c r="F12" s="333">
        <f>'F5'!M71</f>
        <v>249.12435774060776</v>
      </c>
      <c r="G12" s="333">
        <f>'F5'!O71</f>
        <v>256.74539891145395</v>
      </c>
    </row>
    <row r="13" spans="2:240" ht="27.6" x14ac:dyDescent="0.3">
      <c r="B13" s="331">
        <f>[44]CR!B98</f>
        <v>7</v>
      </c>
      <c r="C13" s="332" t="str">
        <f>[44]CR!C98</f>
        <v xml:space="preserve">Additional Capitalization of Borrowed Loan during the year </v>
      </c>
      <c r="D13" s="343">
        <f>'F5'!I72</f>
        <v>397.53128670761089</v>
      </c>
      <c r="E13" s="333">
        <f>'F5'!K72</f>
        <v>272.14599999999996</v>
      </c>
      <c r="F13" s="333">
        <f>'F5'!M72</f>
        <v>237.60337803999892</v>
      </c>
      <c r="G13" s="333">
        <f>'F5'!O72</f>
        <v>94.377704931298922</v>
      </c>
    </row>
    <row r="14" spans="2:240" ht="27.6" x14ac:dyDescent="0.3">
      <c r="B14" s="331">
        <f>[44]CR!B99</f>
        <v>8</v>
      </c>
      <c r="C14" s="332" t="str">
        <f>[44]CR!C99</f>
        <v>Addition/(Reduction) in Normative Loan during the year</v>
      </c>
      <c r="D14" s="343">
        <f>'F5'!I73</f>
        <v>0</v>
      </c>
      <c r="E14" s="333"/>
      <c r="F14" s="333">
        <f>'F5'!M73</f>
        <v>0</v>
      </c>
      <c r="G14" s="333">
        <f>'F5'!O73</f>
        <v>0</v>
      </c>
    </row>
    <row r="15" spans="2:240" x14ac:dyDescent="0.3">
      <c r="B15" s="331">
        <f>[44]CR!B100</f>
        <v>9</v>
      </c>
      <c r="C15" s="332" t="str">
        <f>[44]CR!C100</f>
        <v>Total Closing Net Loan</v>
      </c>
      <c r="D15" s="343">
        <f>'F5'!I74</f>
        <v>1933.833440972367</v>
      </c>
      <c r="E15" s="333">
        <f>'F5'!K74</f>
        <v>1973.9806829558104</v>
      </c>
      <c r="F15" s="333">
        <f>'F5'!M74</f>
        <v>1962.4597032552015</v>
      </c>
      <c r="G15" s="333">
        <f>'F5'!O74</f>
        <v>1800.1923060198449</v>
      </c>
      <c r="IF15" s="130">
        <f>IF13*IF14</f>
        <v>0</v>
      </c>
    </row>
    <row r="16" spans="2:240" x14ac:dyDescent="0.3">
      <c r="B16" s="331">
        <f>[44]CR!B101</f>
        <v>10</v>
      </c>
      <c r="C16" s="332" t="str">
        <f>[44]CR!C101</f>
        <v>Average Loan during the year</v>
      </c>
      <c r="D16" s="343">
        <f>'F5'!I75</f>
        <v>1839.3245790040114</v>
      </c>
      <c r="E16" s="333">
        <f>'F5'!K75</f>
        <v>1953.9070619640888</v>
      </c>
      <c r="F16" s="333">
        <f>'F5'!M75</f>
        <v>1968.220193105506</v>
      </c>
      <c r="G16" s="333">
        <f>'F5'!O75</f>
        <v>1881.3761530099223</v>
      </c>
    </row>
    <row r="17" spans="2:7" x14ac:dyDescent="0.3">
      <c r="B17" s="331">
        <f>[44]CR!B102</f>
        <v>11</v>
      </c>
      <c r="C17" s="332" t="str">
        <f>[44]CR!C102</f>
        <v>Weighted Average Interest Rate</v>
      </c>
      <c r="D17" s="397">
        <f>'F5'!I76</f>
        <v>0.10864898894510773</v>
      </c>
      <c r="E17" s="398">
        <f>'F5'!K76</f>
        <v>0.1002</v>
      </c>
      <c r="F17" s="397">
        <f>'F5'!M76</f>
        <v>9.7580208113406758E-2</v>
      </c>
      <c r="G17" s="397">
        <f>'F5'!O76</f>
        <v>9.9682325433345514E-2</v>
      </c>
    </row>
    <row r="18" spans="2:7" x14ac:dyDescent="0.3">
      <c r="B18" s="331"/>
      <c r="C18" s="332"/>
      <c r="D18" s="343"/>
      <c r="E18" s="334"/>
      <c r="F18" s="333"/>
      <c r="G18" s="333"/>
    </row>
    <row r="19" spans="2:7" x14ac:dyDescent="0.3">
      <c r="B19" s="335">
        <f>[44]CR!B104</f>
        <v>12</v>
      </c>
      <c r="C19" s="336" t="str">
        <f>[44]CR!C104</f>
        <v>Interest Expense for the Period</v>
      </c>
      <c r="D19" s="399">
        <f>D16*D17</f>
        <v>199.84075585067177</v>
      </c>
      <c r="E19" s="399">
        <f>'F5'!K77</f>
        <v>195.77</v>
      </c>
      <c r="F19" s="475">
        <f>'F5'!M77</f>
        <v>192.26389384024492</v>
      </c>
      <c r="G19" s="333">
        <f>'F5'!O77</f>
        <v>187.60957992887072</v>
      </c>
    </row>
    <row r="20" spans="2:7" x14ac:dyDescent="0.3">
      <c r="C20" s="121"/>
    </row>
  </sheetData>
  <mergeCells count="3">
    <mergeCell ref="B2:G2"/>
    <mergeCell ref="B3:G3"/>
    <mergeCell ref="B4:G4"/>
  </mergeCells>
  <pageMargins left="0.7" right="0.7" top="0.75" bottom="0.75" header="0.3" footer="0.3"/>
  <pageSetup scale="51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B2:G28"/>
  <sheetViews>
    <sheetView showGridLines="0" view="pageBreakPreview" topLeftCell="B1" zoomScale="90" zoomScaleNormal="100" zoomScaleSheetLayoutView="90" workbookViewId="0">
      <selection activeCell="G7" sqref="G7:G14"/>
    </sheetView>
  </sheetViews>
  <sheetFormatPr defaultRowHeight="13.8" x14ac:dyDescent="0.3"/>
  <cols>
    <col min="1" max="1" width="4.6640625" style="77" customWidth="1"/>
    <col min="2" max="2" width="7.6640625" style="77" customWidth="1"/>
    <col min="3" max="3" width="35.6640625" style="77" customWidth="1"/>
    <col min="4" max="4" width="9.6640625" style="77" bestFit="1" customWidth="1"/>
    <col min="5" max="5" width="10.44140625" style="77" bestFit="1" customWidth="1"/>
    <col min="6" max="250" width="9.33203125" style="77"/>
    <col min="251" max="251" width="4.6640625" style="77" customWidth="1"/>
    <col min="252" max="252" width="7.6640625" style="77" customWidth="1"/>
    <col min="253" max="253" width="35.6640625" style="77" customWidth="1"/>
    <col min="254" max="254" width="9.6640625" style="77" bestFit="1" customWidth="1"/>
    <col min="255" max="255" width="0" style="77" hidden="1" customWidth="1"/>
    <col min="256" max="260" width="9.6640625" style="77" bestFit="1" customWidth="1"/>
    <col min="261" max="506" width="9.33203125" style="77"/>
    <col min="507" max="507" width="4.6640625" style="77" customWidth="1"/>
    <col min="508" max="508" width="7.6640625" style="77" customWidth="1"/>
    <col min="509" max="509" width="35.6640625" style="77" customWidth="1"/>
    <col min="510" max="510" width="9.6640625" style="77" bestFit="1" customWidth="1"/>
    <col min="511" max="511" width="0" style="77" hidden="1" customWidth="1"/>
    <col min="512" max="516" width="9.6640625" style="77" bestFit="1" customWidth="1"/>
    <col min="517" max="762" width="9.33203125" style="77"/>
    <col min="763" max="763" width="4.6640625" style="77" customWidth="1"/>
    <col min="764" max="764" width="7.6640625" style="77" customWidth="1"/>
    <col min="765" max="765" width="35.6640625" style="77" customWidth="1"/>
    <col min="766" max="766" width="9.6640625" style="77" bestFit="1" customWidth="1"/>
    <col min="767" max="767" width="0" style="77" hidden="1" customWidth="1"/>
    <col min="768" max="772" width="9.6640625" style="77" bestFit="1" customWidth="1"/>
    <col min="773" max="1018" width="9.33203125" style="77"/>
    <col min="1019" max="1019" width="4.6640625" style="77" customWidth="1"/>
    <col min="1020" max="1020" width="7.6640625" style="77" customWidth="1"/>
    <col min="1021" max="1021" width="35.6640625" style="77" customWidth="1"/>
    <col min="1022" max="1022" width="9.6640625" style="77" bestFit="1" customWidth="1"/>
    <col min="1023" max="1023" width="0" style="77" hidden="1" customWidth="1"/>
    <col min="1024" max="1028" width="9.6640625" style="77" bestFit="1" customWidth="1"/>
    <col min="1029" max="1274" width="9.33203125" style="77"/>
    <col min="1275" max="1275" width="4.6640625" style="77" customWidth="1"/>
    <col min="1276" max="1276" width="7.6640625" style="77" customWidth="1"/>
    <col min="1277" max="1277" width="35.6640625" style="77" customWidth="1"/>
    <col min="1278" max="1278" width="9.6640625" style="77" bestFit="1" customWidth="1"/>
    <col min="1279" max="1279" width="0" style="77" hidden="1" customWidth="1"/>
    <col min="1280" max="1284" width="9.6640625" style="77" bestFit="1" customWidth="1"/>
    <col min="1285" max="1530" width="9.33203125" style="77"/>
    <col min="1531" max="1531" width="4.6640625" style="77" customWidth="1"/>
    <col min="1532" max="1532" width="7.6640625" style="77" customWidth="1"/>
    <col min="1533" max="1533" width="35.6640625" style="77" customWidth="1"/>
    <col min="1534" max="1534" width="9.6640625" style="77" bestFit="1" customWidth="1"/>
    <col min="1535" max="1535" width="0" style="77" hidden="1" customWidth="1"/>
    <col min="1536" max="1540" width="9.6640625" style="77" bestFit="1" customWidth="1"/>
    <col min="1541" max="1786" width="9.33203125" style="77"/>
    <col min="1787" max="1787" width="4.6640625" style="77" customWidth="1"/>
    <col min="1788" max="1788" width="7.6640625" style="77" customWidth="1"/>
    <col min="1789" max="1789" width="35.6640625" style="77" customWidth="1"/>
    <col min="1790" max="1790" width="9.6640625" style="77" bestFit="1" customWidth="1"/>
    <col min="1791" max="1791" width="0" style="77" hidden="1" customWidth="1"/>
    <col min="1792" max="1796" width="9.6640625" style="77" bestFit="1" customWidth="1"/>
    <col min="1797" max="2042" width="9.33203125" style="77"/>
    <col min="2043" max="2043" width="4.6640625" style="77" customWidth="1"/>
    <col min="2044" max="2044" width="7.6640625" style="77" customWidth="1"/>
    <col min="2045" max="2045" width="35.6640625" style="77" customWidth="1"/>
    <col min="2046" max="2046" width="9.6640625" style="77" bestFit="1" customWidth="1"/>
    <col min="2047" max="2047" width="0" style="77" hidden="1" customWidth="1"/>
    <col min="2048" max="2052" width="9.6640625" style="77" bestFit="1" customWidth="1"/>
    <col min="2053" max="2298" width="9.33203125" style="77"/>
    <col min="2299" max="2299" width="4.6640625" style="77" customWidth="1"/>
    <col min="2300" max="2300" width="7.6640625" style="77" customWidth="1"/>
    <col min="2301" max="2301" width="35.6640625" style="77" customWidth="1"/>
    <col min="2302" max="2302" width="9.6640625" style="77" bestFit="1" customWidth="1"/>
    <col min="2303" max="2303" width="0" style="77" hidden="1" customWidth="1"/>
    <col min="2304" max="2308" width="9.6640625" style="77" bestFit="1" customWidth="1"/>
    <col min="2309" max="2554" width="9.33203125" style="77"/>
    <col min="2555" max="2555" width="4.6640625" style="77" customWidth="1"/>
    <col min="2556" max="2556" width="7.6640625" style="77" customWidth="1"/>
    <col min="2557" max="2557" width="35.6640625" style="77" customWidth="1"/>
    <col min="2558" max="2558" width="9.6640625" style="77" bestFit="1" customWidth="1"/>
    <col min="2559" max="2559" width="0" style="77" hidden="1" customWidth="1"/>
    <col min="2560" max="2564" width="9.6640625" style="77" bestFit="1" customWidth="1"/>
    <col min="2565" max="2810" width="9.33203125" style="77"/>
    <col min="2811" max="2811" width="4.6640625" style="77" customWidth="1"/>
    <col min="2812" max="2812" width="7.6640625" style="77" customWidth="1"/>
    <col min="2813" max="2813" width="35.6640625" style="77" customWidth="1"/>
    <col min="2814" max="2814" width="9.6640625" style="77" bestFit="1" customWidth="1"/>
    <col min="2815" max="2815" width="0" style="77" hidden="1" customWidth="1"/>
    <col min="2816" max="2820" width="9.6640625" style="77" bestFit="1" customWidth="1"/>
    <col min="2821" max="3066" width="9.33203125" style="77"/>
    <col min="3067" max="3067" width="4.6640625" style="77" customWidth="1"/>
    <col min="3068" max="3068" width="7.6640625" style="77" customWidth="1"/>
    <col min="3069" max="3069" width="35.6640625" style="77" customWidth="1"/>
    <col min="3070" max="3070" width="9.6640625" style="77" bestFit="1" customWidth="1"/>
    <col min="3071" max="3071" width="0" style="77" hidden="1" customWidth="1"/>
    <col min="3072" max="3076" width="9.6640625" style="77" bestFit="1" customWidth="1"/>
    <col min="3077" max="3322" width="9.33203125" style="77"/>
    <col min="3323" max="3323" width="4.6640625" style="77" customWidth="1"/>
    <col min="3324" max="3324" width="7.6640625" style="77" customWidth="1"/>
    <col min="3325" max="3325" width="35.6640625" style="77" customWidth="1"/>
    <col min="3326" max="3326" width="9.6640625" style="77" bestFit="1" customWidth="1"/>
    <col min="3327" max="3327" width="0" style="77" hidden="1" customWidth="1"/>
    <col min="3328" max="3332" width="9.6640625" style="77" bestFit="1" customWidth="1"/>
    <col min="3333" max="3578" width="9.33203125" style="77"/>
    <col min="3579" max="3579" width="4.6640625" style="77" customWidth="1"/>
    <col min="3580" max="3580" width="7.6640625" style="77" customWidth="1"/>
    <col min="3581" max="3581" width="35.6640625" style="77" customWidth="1"/>
    <col min="3582" max="3582" width="9.6640625" style="77" bestFit="1" customWidth="1"/>
    <col min="3583" max="3583" width="0" style="77" hidden="1" customWidth="1"/>
    <col min="3584" max="3588" width="9.6640625" style="77" bestFit="1" customWidth="1"/>
    <col min="3589" max="3834" width="9.33203125" style="77"/>
    <col min="3835" max="3835" width="4.6640625" style="77" customWidth="1"/>
    <col min="3836" max="3836" width="7.6640625" style="77" customWidth="1"/>
    <col min="3837" max="3837" width="35.6640625" style="77" customWidth="1"/>
    <col min="3838" max="3838" width="9.6640625" style="77" bestFit="1" customWidth="1"/>
    <col min="3839" max="3839" width="0" style="77" hidden="1" customWidth="1"/>
    <col min="3840" max="3844" width="9.6640625" style="77" bestFit="1" customWidth="1"/>
    <col min="3845" max="4090" width="9.33203125" style="77"/>
    <col min="4091" max="4091" width="4.6640625" style="77" customWidth="1"/>
    <col min="4092" max="4092" width="7.6640625" style="77" customWidth="1"/>
    <col min="4093" max="4093" width="35.6640625" style="77" customWidth="1"/>
    <col min="4094" max="4094" width="9.6640625" style="77" bestFit="1" customWidth="1"/>
    <col min="4095" max="4095" width="0" style="77" hidden="1" customWidth="1"/>
    <col min="4096" max="4100" width="9.6640625" style="77" bestFit="1" customWidth="1"/>
    <col min="4101" max="4346" width="9.33203125" style="77"/>
    <col min="4347" max="4347" width="4.6640625" style="77" customWidth="1"/>
    <col min="4348" max="4348" width="7.6640625" style="77" customWidth="1"/>
    <col min="4349" max="4349" width="35.6640625" style="77" customWidth="1"/>
    <col min="4350" max="4350" width="9.6640625" style="77" bestFit="1" customWidth="1"/>
    <col min="4351" max="4351" width="0" style="77" hidden="1" customWidth="1"/>
    <col min="4352" max="4356" width="9.6640625" style="77" bestFit="1" customWidth="1"/>
    <col min="4357" max="4602" width="9.33203125" style="77"/>
    <col min="4603" max="4603" width="4.6640625" style="77" customWidth="1"/>
    <col min="4604" max="4604" width="7.6640625" style="77" customWidth="1"/>
    <col min="4605" max="4605" width="35.6640625" style="77" customWidth="1"/>
    <col min="4606" max="4606" width="9.6640625" style="77" bestFit="1" customWidth="1"/>
    <col min="4607" max="4607" width="0" style="77" hidden="1" customWidth="1"/>
    <col min="4608" max="4612" width="9.6640625" style="77" bestFit="1" customWidth="1"/>
    <col min="4613" max="4858" width="9.33203125" style="77"/>
    <col min="4859" max="4859" width="4.6640625" style="77" customWidth="1"/>
    <col min="4860" max="4860" width="7.6640625" style="77" customWidth="1"/>
    <col min="4861" max="4861" width="35.6640625" style="77" customWidth="1"/>
    <col min="4862" max="4862" width="9.6640625" style="77" bestFit="1" customWidth="1"/>
    <col min="4863" max="4863" width="0" style="77" hidden="1" customWidth="1"/>
    <col min="4864" max="4868" width="9.6640625" style="77" bestFit="1" customWidth="1"/>
    <col min="4869" max="5114" width="9.33203125" style="77"/>
    <col min="5115" max="5115" width="4.6640625" style="77" customWidth="1"/>
    <col min="5116" max="5116" width="7.6640625" style="77" customWidth="1"/>
    <col min="5117" max="5117" width="35.6640625" style="77" customWidth="1"/>
    <col min="5118" max="5118" width="9.6640625" style="77" bestFit="1" customWidth="1"/>
    <col min="5119" max="5119" width="0" style="77" hidden="1" customWidth="1"/>
    <col min="5120" max="5124" width="9.6640625" style="77" bestFit="1" customWidth="1"/>
    <col min="5125" max="5370" width="9.33203125" style="77"/>
    <col min="5371" max="5371" width="4.6640625" style="77" customWidth="1"/>
    <col min="5372" max="5372" width="7.6640625" style="77" customWidth="1"/>
    <col min="5373" max="5373" width="35.6640625" style="77" customWidth="1"/>
    <col min="5374" max="5374" width="9.6640625" style="77" bestFit="1" customWidth="1"/>
    <col min="5375" max="5375" width="0" style="77" hidden="1" customWidth="1"/>
    <col min="5376" max="5380" width="9.6640625" style="77" bestFit="1" customWidth="1"/>
    <col min="5381" max="5626" width="9.33203125" style="77"/>
    <col min="5627" max="5627" width="4.6640625" style="77" customWidth="1"/>
    <col min="5628" max="5628" width="7.6640625" style="77" customWidth="1"/>
    <col min="5629" max="5629" width="35.6640625" style="77" customWidth="1"/>
    <col min="5630" max="5630" width="9.6640625" style="77" bestFit="1" customWidth="1"/>
    <col min="5631" max="5631" width="0" style="77" hidden="1" customWidth="1"/>
    <col min="5632" max="5636" width="9.6640625" style="77" bestFit="1" customWidth="1"/>
    <col min="5637" max="5882" width="9.33203125" style="77"/>
    <col min="5883" max="5883" width="4.6640625" style="77" customWidth="1"/>
    <col min="5884" max="5884" width="7.6640625" style="77" customWidth="1"/>
    <col min="5885" max="5885" width="35.6640625" style="77" customWidth="1"/>
    <col min="5886" max="5886" width="9.6640625" style="77" bestFit="1" customWidth="1"/>
    <col min="5887" max="5887" width="0" style="77" hidden="1" customWidth="1"/>
    <col min="5888" max="5892" width="9.6640625" style="77" bestFit="1" customWidth="1"/>
    <col min="5893" max="6138" width="9.33203125" style="77"/>
    <col min="6139" max="6139" width="4.6640625" style="77" customWidth="1"/>
    <col min="6140" max="6140" width="7.6640625" style="77" customWidth="1"/>
    <col min="6141" max="6141" width="35.6640625" style="77" customWidth="1"/>
    <col min="6142" max="6142" width="9.6640625" style="77" bestFit="1" customWidth="1"/>
    <col min="6143" max="6143" width="0" style="77" hidden="1" customWidth="1"/>
    <col min="6144" max="6148" width="9.6640625" style="77" bestFit="1" customWidth="1"/>
    <col min="6149" max="6394" width="9.33203125" style="77"/>
    <col min="6395" max="6395" width="4.6640625" style="77" customWidth="1"/>
    <col min="6396" max="6396" width="7.6640625" style="77" customWidth="1"/>
    <col min="6397" max="6397" width="35.6640625" style="77" customWidth="1"/>
    <col min="6398" max="6398" width="9.6640625" style="77" bestFit="1" customWidth="1"/>
    <col min="6399" max="6399" width="0" style="77" hidden="1" customWidth="1"/>
    <col min="6400" max="6404" width="9.6640625" style="77" bestFit="1" customWidth="1"/>
    <col min="6405" max="6650" width="9.33203125" style="77"/>
    <col min="6651" max="6651" width="4.6640625" style="77" customWidth="1"/>
    <col min="6652" max="6652" width="7.6640625" style="77" customWidth="1"/>
    <col min="6653" max="6653" width="35.6640625" style="77" customWidth="1"/>
    <col min="6654" max="6654" width="9.6640625" style="77" bestFit="1" customWidth="1"/>
    <col min="6655" max="6655" width="0" style="77" hidden="1" customWidth="1"/>
    <col min="6656" max="6660" width="9.6640625" style="77" bestFit="1" customWidth="1"/>
    <col min="6661" max="6906" width="9.33203125" style="77"/>
    <col min="6907" max="6907" width="4.6640625" style="77" customWidth="1"/>
    <col min="6908" max="6908" width="7.6640625" style="77" customWidth="1"/>
    <col min="6909" max="6909" width="35.6640625" style="77" customWidth="1"/>
    <col min="6910" max="6910" width="9.6640625" style="77" bestFit="1" customWidth="1"/>
    <col min="6911" max="6911" width="0" style="77" hidden="1" customWidth="1"/>
    <col min="6912" max="6916" width="9.6640625" style="77" bestFit="1" customWidth="1"/>
    <col min="6917" max="7162" width="9.33203125" style="77"/>
    <col min="7163" max="7163" width="4.6640625" style="77" customWidth="1"/>
    <col min="7164" max="7164" width="7.6640625" style="77" customWidth="1"/>
    <col min="7165" max="7165" width="35.6640625" style="77" customWidth="1"/>
    <col min="7166" max="7166" width="9.6640625" style="77" bestFit="1" customWidth="1"/>
    <col min="7167" max="7167" width="0" style="77" hidden="1" customWidth="1"/>
    <col min="7168" max="7172" width="9.6640625" style="77" bestFit="1" customWidth="1"/>
    <col min="7173" max="7418" width="9.33203125" style="77"/>
    <col min="7419" max="7419" width="4.6640625" style="77" customWidth="1"/>
    <col min="7420" max="7420" width="7.6640625" style="77" customWidth="1"/>
    <col min="7421" max="7421" width="35.6640625" style="77" customWidth="1"/>
    <col min="7422" max="7422" width="9.6640625" style="77" bestFit="1" customWidth="1"/>
    <col min="7423" max="7423" width="0" style="77" hidden="1" customWidth="1"/>
    <col min="7424" max="7428" width="9.6640625" style="77" bestFit="1" customWidth="1"/>
    <col min="7429" max="7674" width="9.33203125" style="77"/>
    <col min="7675" max="7675" width="4.6640625" style="77" customWidth="1"/>
    <col min="7676" max="7676" width="7.6640625" style="77" customWidth="1"/>
    <col min="7677" max="7677" width="35.6640625" style="77" customWidth="1"/>
    <col min="7678" max="7678" width="9.6640625" style="77" bestFit="1" customWidth="1"/>
    <col min="7679" max="7679" width="0" style="77" hidden="1" customWidth="1"/>
    <col min="7680" max="7684" width="9.6640625" style="77" bestFit="1" customWidth="1"/>
    <col min="7685" max="7930" width="9.33203125" style="77"/>
    <col min="7931" max="7931" width="4.6640625" style="77" customWidth="1"/>
    <col min="7932" max="7932" width="7.6640625" style="77" customWidth="1"/>
    <col min="7933" max="7933" width="35.6640625" style="77" customWidth="1"/>
    <col min="7934" max="7934" width="9.6640625" style="77" bestFit="1" customWidth="1"/>
    <col min="7935" max="7935" width="0" style="77" hidden="1" customWidth="1"/>
    <col min="7936" max="7940" width="9.6640625" style="77" bestFit="1" customWidth="1"/>
    <col min="7941" max="8186" width="9.33203125" style="77"/>
    <col min="8187" max="8187" width="4.6640625" style="77" customWidth="1"/>
    <col min="8188" max="8188" width="7.6640625" style="77" customWidth="1"/>
    <col min="8189" max="8189" width="35.6640625" style="77" customWidth="1"/>
    <col min="8190" max="8190" width="9.6640625" style="77" bestFit="1" customWidth="1"/>
    <col min="8191" max="8191" width="0" style="77" hidden="1" customWidth="1"/>
    <col min="8192" max="8196" width="9.6640625" style="77" bestFit="1" customWidth="1"/>
    <col min="8197" max="8442" width="9.33203125" style="77"/>
    <col min="8443" max="8443" width="4.6640625" style="77" customWidth="1"/>
    <col min="8444" max="8444" width="7.6640625" style="77" customWidth="1"/>
    <col min="8445" max="8445" width="35.6640625" style="77" customWidth="1"/>
    <col min="8446" max="8446" width="9.6640625" style="77" bestFit="1" customWidth="1"/>
    <col min="8447" max="8447" width="0" style="77" hidden="1" customWidth="1"/>
    <col min="8448" max="8452" width="9.6640625" style="77" bestFit="1" customWidth="1"/>
    <col min="8453" max="8698" width="9.33203125" style="77"/>
    <col min="8699" max="8699" width="4.6640625" style="77" customWidth="1"/>
    <col min="8700" max="8700" width="7.6640625" style="77" customWidth="1"/>
    <col min="8701" max="8701" width="35.6640625" style="77" customWidth="1"/>
    <col min="8702" max="8702" width="9.6640625" style="77" bestFit="1" customWidth="1"/>
    <col min="8703" max="8703" width="0" style="77" hidden="1" customWidth="1"/>
    <col min="8704" max="8708" width="9.6640625" style="77" bestFit="1" customWidth="1"/>
    <col min="8709" max="8954" width="9.33203125" style="77"/>
    <col min="8955" max="8955" width="4.6640625" style="77" customWidth="1"/>
    <col min="8956" max="8956" width="7.6640625" style="77" customWidth="1"/>
    <col min="8957" max="8957" width="35.6640625" style="77" customWidth="1"/>
    <col min="8958" max="8958" width="9.6640625" style="77" bestFit="1" customWidth="1"/>
    <col min="8959" max="8959" width="0" style="77" hidden="1" customWidth="1"/>
    <col min="8960" max="8964" width="9.6640625" style="77" bestFit="1" customWidth="1"/>
    <col min="8965" max="9210" width="9.33203125" style="77"/>
    <col min="9211" max="9211" width="4.6640625" style="77" customWidth="1"/>
    <col min="9212" max="9212" width="7.6640625" style="77" customWidth="1"/>
    <col min="9213" max="9213" width="35.6640625" style="77" customWidth="1"/>
    <col min="9214" max="9214" width="9.6640625" style="77" bestFit="1" customWidth="1"/>
    <col min="9215" max="9215" width="0" style="77" hidden="1" customWidth="1"/>
    <col min="9216" max="9220" width="9.6640625" style="77" bestFit="1" customWidth="1"/>
    <col min="9221" max="9466" width="9.33203125" style="77"/>
    <col min="9467" max="9467" width="4.6640625" style="77" customWidth="1"/>
    <col min="9468" max="9468" width="7.6640625" style="77" customWidth="1"/>
    <col min="9469" max="9469" width="35.6640625" style="77" customWidth="1"/>
    <col min="9470" max="9470" width="9.6640625" style="77" bestFit="1" customWidth="1"/>
    <col min="9471" max="9471" width="0" style="77" hidden="1" customWidth="1"/>
    <col min="9472" max="9476" width="9.6640625" style="77" bestFit="1" customWidth="1"/>
    <col min="9477" max="9722" width="9.33203125" style="77"/>
    <col min="9723" max="9723" width="4.6640625" style="77" customWidth="1"/>
    <col min="9724" max="9724" width="7.6640625" style="77" customWidth="1"/>
    <col min="9725" max="9725" width="35.6640625" style="77" customWidth="1"/>
    <col min="9726" max="9726" width="9.6640625" style="77" bestFit="1" customWidth="1"/>
    <col min="9727" max="9727" width="0" style="77" hidden="1" customWidth="1"/>
    <col min="9728" max="9732" width="9.6640625" style="77" bestFit="1" customWidth="1"/>
    <col min="9733" max="9978" width="9.33203125" style="77"/>
    <col min="9979" max="9979" width="4.6640625" style="77" customWidth="1"/>
    <col min="9980" max="9980" width="7.6640625" style="77" customWidth="1"/>
    <col min="9981" max="9981" width="35.6640625" style="77" customWidth="1"/>
    <col min="9982" max="9982" width="9.6640625" style="77" bestFit="1" customWidth="1"/>
    <col min="9983" max="9983" width="0" style="77" hidden="1" customWidth="1"/>
    <col min="9984" max="9988" width="9.6640625" style="77" bestFit="1" customWidth="1"/>
    <col min="9989" max="10234" width="9.33203125" style="77"/>
    <col min="10235" max="10235" width="4.6640625" style="77" customWidth="1"/>
    <col min="10236" max="10236" width="7.6640625" style="77" customWidth="1"/>
    <col min="10237" max="10237" width="35.6640625" style="77" customWidth="1"/>
    <col min="10238" max="10238" width="9.6640625" style="77" bestFit="1" customWidth="1"/>
    <col min="10239" max="10239" width="0" style="77" hidden="1" customWidth="1"/>
    <col min="10240" max="10244" width="9.6640625" style="77" bestFit="1" customWidth="1"/>
    <col min="10245" max="10490" width="9.33203125" style="77"/>
    <col min="10491" max="10491" width="4.6640625" style="77" customWidth="1"/>
    <col min="10492" max="10492" width="7.6640625" style="77" customWidth="1"/>
    <col min="10493" max="10493" width="35.6640625" style="77" customWidth="1"/>
    <col min="10494" max="10494" width="9.6640625" style="77" bestFit="1" customWidth="1"/>
    <col min="10495" max="10495" width="0" style="77" hidden="1" customWidth="1"/>
    <col min="10496" max="10500" width="9.6640625" style="77" bestFit="1" customWidth="1"/>
    <col min="10501" max="10746" width="9.33203125" style="77"/>
    <col min="10747" max="10747" width="4.6640625" style="77" customWidth="1"/>
    <col min="10748" max="10748" width="7.6640625" style="77" customWidth="1"/>
    <col min="10749" max="10749" width="35.6640625" style="77" customWidth="1"/>
    <col min="10750" max="10750" width="9.6640625" style="77" bestFit="1" customWidth="1"/>
    <col min="10751" max="10751" width="0" style="77" hidden="1" customWidth="1"/>
    <col min="10752" max="10756" width="9.6640625" style="77" bestFit="1" customWidth="1"/>
    <col min="10757" max="11002" width="9.33203125" style="77"/>
    <col min="11003" max="11003" width="4.6640625" style="77" customWidth="1"/>
    <col min="11004" max="11004" width="7.6640625" style="77" customWidth="1"/>
    <col min="11005" max="11005" width="35.6640625" style="77" customWidth="1"/>
    <col min="11006" max="11006" width="9.6640625" style="77" bestFit="1" customWidth="1"/>
    <col min="11007" max="11007" width="0" style="77" hidden="1" customWidth="1"/>
    <col min="11008" max="11012" width="9.6640625" style="77" bestFit="1" customWidth="1"/>
    <col min="11013" max="11258" width="9.33203125" style="77"/>
    <col min="11259" max="11259" width="4.6640625" style="77" customWidth="1"/>
    <col min="11260" max="11260" width="7.6640625" style="77" customWidth="1"/>
    <col min="11261" max="11261" width="35.6640625" style="77" customWidth="1"/>
    <col min="11262" max="11262" width="9.6640625" style="77" bestFit="1" customWidth="1"/>
    <col min="11263" max="11263" width="0" style="77" hidden="1" customWidth="1"/>
    <col min="11264" max="11268" width="9.6640625" style="77" bestFit="1" customWidth="1"/>
    <col min="11269" max="11514" width="9.33203125" style="77"/>
    <col min="11515" max="11515" width="4.6640625" style="77" customWidth="1"/>
    <col min="11516" max="11516" width="7.6640625" style="77" customWidth="1"/>
    <col min="11517" max="11517" width="35.6640625" style="77" customWidth="1"/>
    <col min="11518" max="11518" width="9.6640625" style="77" bestFit="1" customWidth="1"/>
    <col min="11519" max="11519" width="0" style="77" hidden="1" customWidth="1"/>
    <col min="11520" max="11524" width="9.6640625" style="77" bestFit="1" customWidth="1"/>
    <col min="11525" max="11770" width="9.33203125" style="77"/>
    <col min="11771" max="11771" width="4.6640625" style="77" customWidth="1"/>
    <col min="11772" max="11772" width="7.6640625" style="77" customWidth="1"/>
    <col min="11773" max="11773" width="35.6640625" style="77" customWidth="1"/>
    <col min="11774" max="11774" width="9.6640625" style="77" bestFit="1" customWidth="1"/>
    <col min="11775" max="11775" width="0" style="77" hidden="1" customWidth="1"/>
    <col min="11776" max="11780" width="9.6640625" style="77" bestFit="1" customWidth="1"/>
    <col min="11781" max="12026" width="9.33203125" style="77"/>
    <col min="12027" max="12027" width="4.6640625" style="77" customWidth="1"/>
    <col min="12028" max="12028" width="7.6640625" style="77" customWidth="1"/>
    <col min="12029" max="12029" width="35.6640625" style="77" customWidth="1"/>
    <col min="12030" max="12030" width="9.6640625" style="77" bestFit="1" customWidth="1"/>
    <col min="12031" max="12031" width="0" style="77" hidden="1" customWidth="1"/>
    <col min="12032" max="12036" width="9.6640625" style="77" bestFit="1" customWidth="1"/>
    <col min="12037" max="12282" width="9.33203125" style="77"/>
    <col min="12283" max="12283" width="4.6640625" style="77" customWidth="1"/>
    <col min="12284" max="12284" width="7.6640625" style="77" customWidth="1"/>
    <col min="12285" max="12285" width="35.6640625" style="77" customWidth="1"/>
    <col min="12286" max="12286" width="9.6640625" style="77" bestFit="1" customWidth="1"/>
    <col min="12287" max="12287" width="0" style="77" hidden="1" customWidth="1"/>
    <col min="12288" max="12292" width="9.6640625" style="77" bestFit="1" customWidth="1"/>
    <col min="12293" max="12538" width="9.33203125" style="77"/>
    <col min="12539" max="12539" width="4.6640625" style="77" customWidth="1"/>
    <col min="12540" max="12540" width="7.6640625" style="77" customWidth="1"/>
    <col min="12541" max="12541" width="35.6640625" style="77" customWidth="1"/>
    <col min="12542" max="12542" width="9.6640625" style="77" bestFit="1" customWidth="1"/>
    <col min="12543" max="12543" width="0" style="77" hidden="1" customWidth="1"/>
    <col min="12544" max="12548" width="9.6640625" style="77" bestFit="1" customWidth="1"/>
    <col min="12549" max="12794" width="9.33203125" style="77"/>
    <col min="12795" max="12795" width="4.6640625" style="77" customWidth="1"/>
    <col min="12796" max="12796" width="7.6640625" style="77" customWidth="1"/>
    <col min="12797" max="12797" width="35.6640625" style="77" customWidth="1"/>
    <col min="12798" max="12798" width="9.6640625" style="77" bestFit="1" customWidth="1"/>
    <col min="12799" max="12799" width="0" style="77" hidden="1" customWidth="1"/>
    <col min="12800" max="12804" width="9.6640625" style="77" bestFit="1" customWidth="1"/>
    <col min="12805" max="13050" width="9.33203125" style="77"/>
    <col min="13051" max="13051" width="4.6640625" style="77" customWidth="1"/>
    <col min="13052" max="13052" width="7.6640625" style="77" customWidth="1"/>
    <col min="13053" max="13053" width="35.6640625" style="77" customWidth="1"/>
    <col min="13054" max="13054" width="9.6640625" style="77" bestFit="1" customWidth="1"/>
    <col min="13055" max="13055" width="0" style="77" hidden="1" customWidth="1"/>
    <col min="13056" max="13060" width="9.6640625" style="77" bestFit="1" customWidth="1"/>
    <col min="13061" max="13306" width="9.33203125" style="77"/>
    <col min="13307" max="13307" width="4.6640625" style="77" customWidth="1"/>
    <col min="13308" max="13308" width="7.6640625" style="77" customWidth="1"/>
    <col min="13309" max="13309" width="35.6640625" style="77" customWidth="1"/>
    <col min="13310" max="13310" width="9.6640625" style="77" bestFit="1" customWidth="1"/>
    <col min="13311" max="13311" width="0" style="77" hidden="1" customWidth="1"/>
    <col min="13312" max="13316" width="9.6640625" style="77" bestFit="1" customWidth="1"/>
    <col min="13317" max="13562" width="9.33203125" style="77"/>
    <col min="13563" max="13563" width="4.6640625" style="77" customWidth="1"/>
    <col min="13564" max="13564" width="7.6640625" style="77" customWidth="1"/>
    <col min="13565" max="13565" width="35.6640625" style="77" customWidth="1"/>
    <col min="13566" max="13566" width="9.6640625" style="77" bestFit="1" customWidth="1"/>
    <col min="13567" max="13567" width="0" style="77" hidden="1" customWidth="1"/>
    <col min="13568" max="13572" width="9.6640625" style="77" bestFit="1" customWidth="1"/>
    <col min="13573" max="13818" width="9.33203125" style="77"/>
    <col min="13819" max="13819" width="4.6640625" style="77" customWidth="1"/>
    <col min="13820" max="13820" width="7.6640625" style="77" customWidth="1"/>
    <col min="13821" max="13821" width="35.6640625" style="77" customWidth="1"/>
    <col min="13822" max="13822" width="9.6640625" style="77" bestFit="1" customWidth="1"/>
    <col min="13823" max="13823" width="0" style="77" hidden="1" customWidth="1"/>
    <col min="13824" max="13828" width="9.6640625" style="77" bestFit="1" customWidth="1"/>
    <col min="13829" max="14074" width="9.33203125" style="77"/>
    <col min="14075" max="14075" width="4.6640625" style="77" customWidth="1"/>
    <col min="14076" max="14076" width="7.6640625" style="77" customWidth="1"/>
    <col min="14077" max="14077" width="35.6640625" style="77" customWidth="1"/>
    <col min="14078" max="14078" width="9.6640625" style="77" bestFit="1" customWidth="1"/>
    <col min="14079" max="14079" width="0" style="77" hidden="1" customWidth="1"/>
    <col min="14080" max="14084" width="9.6640625" style="77" bestFit="1" customWidth="1"/>
    <col min="14085" max="14330" width="9.33203125" style="77"/>
    <col min="14331" max="14331" width="4.6640625" style="77" customWidth="1"/>
    <col min="14332" max="14332" width="7.6640625" style="77" customWidth="1"/>
    <col min="14333" max="14333" width="35.6640625" style="77" customWidth="1"/>
    <col min="14334" max="14334" width="9.6640625" style="77" bestFit="1" customWidth="1"/>
    <col min="14335" max="14335" width="0" style="77" hidden="1" customWidth="1"/>
    <col min="14336" max="14340" width="9.6640625" style="77" bestFit="1" customWidth="1"/>
    <col min="14341" max="14586" width="9.33203125" style="77"/>
    <col min="14587" max="14587" width="4.6640625" style="77" customWidth="1"/>
    <col min="14588" max="14588" width="7.6640625" style="77" customWidth="1"/>
    <col min="14589" max="14589" width="35.6640625" style="77" customWidth="1"/>
    <col min="14590" max="14590" width="9.6640625" style="77" bestFit="1" customWidth="1"/>
    <col min="14591" max="14591" width="0" style="77" hidden="1" customWidth="1"/>
    <col min="14592" max="14596" width="9.6640625" style="77" bestFit="1" customWidth="1"/>
    <col min="14597" max="14842" width="9.33203125" style="77"/>
    <col min="14843" max="14843" width="4.6640625" style="77" customWidth="1"/>
    <col min="14844" max="14844" width="7.6640625" style="77" customWidth="1"/>
    <col min="14845" max="14845" width="35.6640625" style="77" customWidth="1"/>
    <col min="14846" max="14846" width="9.6640625" style="77" bestFit="1" customWidth="1"/>
    <col min="14847" max="14847" width="0" style="77" hidden="1" customWidth="1"/>
    <col min="14848" max="14852" width="9.6640625" style="77" bestFit="1" customWidth="1"/>
    <col min="14853" max="15098" width="9.33203125" style="77"/>
    <col min="15099" max="15099" width="4.6640625" style="77" customWidth="1"/>
    <col min="15100" max="15100" width="7.6640625" style="77" customWidth="1"/>
    <col min="15101" max="15101" width="35.6640625" style="77" customWidth="1"/>
    <col min="15102" max="15102" width="9.6640625" style="77" bestFit="1" customWidth="1"/>
    <col min="15103" max="15103" width="0" style="77" hidden="1" customWidth="1"/>
    <col min="15104" max="15108" width="9.6640625" style="77" bestFit="1" customWidth="1"/>
    <col min="15109" max="15354" width="9.33203125" style="77"/>
    <col min="15355" max="15355" width="4.6640625" style="77" customWidth="1"/>
    <col min="15356" max="15356" width="7.6640625" style="77" customWidth="1"/>
    <col min="15357" max="15357" width="35.6640625" style="77" customWidth="1"/>
    <col min="15358" max="15358" width="9.6640625" style="77" bestFit="1" customWidth="1"/>
    <col min="15359" max="15359" width="0" style="77" hidden="1" customWidth="1"/>
    <col min="15360" max="15364" width="9.6640625" style="77" bestFit="1" customWidth="1"/>
    <col min="15365" max="15610" width="9.33203125" style="77"/>
    <col min="15611" max="15611" width="4.6640625" style="77" customWidth="1"/>
    <col min="15612" max="15612" width="7.6640625" style="77" customWidth="1"/>
    <col min="15613" max="15613" width="35.6640625" style="77" customWidth="1"/>
    <col min="15614" max="15614" width="9.6640625" style="77" bestFit="1" customWidth="1"/>
    <col min="15615" max="15615" width="0" style="77" hidden="1" customWidth="1"/>
    <col min="15616" max="15620" width="9.6640625" style="77" bestFit="1" customWidth="1"/>
    <col min="15621" max="15866" width="9.33203125" style="77"/>
    <col min="15867" max="15867" width="4.6640625" style="77" customWidth="1"/>
    <col min="15868" max="15868" width="7.6640625" style="77" customWidth="1"/>
    <col min="15869" max="15869" width="35.6640625" style="77" customWidth="1"/>
    <col min="15870" max="15870" width="9.6640625" style="77" bestFit="1" customWidth="1"/>
    <col min="15871" max="15871" width="0" style="77" hidden="1" customWidth="1"/>
    <col min="15872" max="15876" width="9.6640625" style="77" bestFit="1" customWidth="1"/>
    <col min="15877" max="16122" width="9.33203125" style="77"/>
    <col min="16123" max="16123" width="4.6640625" style="77" customWidth="1"/>
    <col min="16124" max="16124" width="7.6640625" style="77" customWidth="1"/>
    <col min="16125" max="16125" width="35.6640625" style="77" customWidth="1"/>
    <col min="16126" max="16126" width="9.6640625" style="77" bestFit="1" customWidth="1"/>
    <col min="16127" max="16127" width="0" style="77" hidden="1" customWidth="1"/>
    <col min="16128" max="16132" width="9.6640625" style="77" bestFit="1" customWidth="1"/>
    <col min="16133" max="16384" width="9.33203125" style="77"/>
  </cols>
  <sheetData>
    <row r="2" spans="2:7" ht="12.75" customHeight="1" x14ac:dyDescent="0.3">
      <c r="B2" s="630" t="s">
        <v>670</v>
      </c>
      <c r="C2" s="631"/>
      <c r="D2" s="631"/>
      <c r="E2" s="631"/>
      <c r="F2" s="631"/>
      <c r="G2" s="631"/>
    </row>
    <row r="3" spans="2:7" ht="12.75" customHeight="1" x14ac:dyDescent="0.3">
      <c r="B3" s="630" t="s">
        <v>671</v>
      </c>
      <c r="C3" s="631"/>
      <c r="D3" s="631"/>
      <c r="E3" s="631"/>
      <c r="F3" s="631"/>
      <c r="G3" s="631"/>
    </row>
    <row r="4" spans="2:7" ht="12.75" customHeight="1" x14ac:dyDescent="0.3">
      <c r="B4" s="633" t="str">
        <f>'F6 (2)'!B4:D4</f>
        <v>CHHATTISGARH STATE POWER TRANSMISSION COMPANY LIMITED</v>
      </c>
      <c r="C4" s="634"/>
      <c r="D4" s="634"/>
      <c r="E4" s="634"/>
      <c r="F4" s="634"/>
      <c r="G4" s="634"/>
    </row>
    <row r="5" spans="2:7" ht="41.4" x14ac:dyDescent="0.3">
      <c r="B5" s="387" t="s">
        <v>1</v>
      </c>
      <c r="C5" s="388" t="s">
        <v>2</v>
      </c>
      <c r="D5" s="389" t="s">
        <v>672</v>
      </c>
      <c r="E5" s="389" t="s">
        <v>673</v>
      </c>
      <c r="F5" s="389" t="s">
        <v>674</v>
      </c>
      <c r="G5" s="389" t="s">
        <v>675</v>
      </c>
    </row>
    <row r="6" spans="2:7" ht="12" customHeight="1" x14ac:dyDescent="0.3">
      <c r="B6" s="400"/>
      <c r="C6" s="400"/>
      <c r="D6" s="331"/>
      <c r="E6" s="331"/>
    </row>
    <row r="7" spans="2:7" x14ac:dyDescent="0.3">
      <c r="B7" s="369">
        <v>1</v>
      </c>
      <c r="C7" s="390" t="str">
        <f>[44]IWC!C8</f>
        <v>O&amp;M</v>
      </c>
      <c r="D7" s="346">
        <f>'F7'!I9</f>
        <v>23.811100795186164</v>
      </c>
      <c r="E7" s="339">
        <f>'F7'!K9</f>
        <v>22.25</v>
      </c>
      <c r="F7" s="476">
        <f>'F7'!M9</f>
        <v>24.196898298809376</v>
      </c>
      <c r="G7" s="333">
        <f>'F7'!O9</f>
        <v>24.017097292723864</v>
      </c>
    </row>
    <row r="8" spans="2:7" x14ac:dyDescent="0.3">
      <c r="B8" s="369">
        <v>2</v>
      </c>
      <c r="C8" s="390" t="str">
        <f>[44]IWC!C9</f>
        <v>Maintenance Spares</v>
      </c>
      <c r="D8" s="346">
        <f>'F7'!I10</f>
        <v>18.149160032800008</v>
      </c>
      <c r="E8" s="339">
        <f>'F7'!K10</f>
        <v>17.27</v>
      </c>
      <c r="F8" s="476">
        <f>'F7'!M10</f>
        <v>21.63</v>
      </c>
      <c r="G8" s="333">
        <f>'F7'!O10</f>
        <v>24.977104725599986</v>
      </c>
    </row>
    <row r="9" spans="2:7" x14ac:dyDescent="0.3">
      <c r="B9" s="369">
        <v>3</v>
      </c>
      <c r="C9" s="390" t="str">
        <f>[44]IWC!C10</f>
        <v>Receivables</v>
      </c>
      <c r="D9" s="346">
        <f>'F7'!I11</f>
        <v>80.290000000000006</v>
      </c>
      <c r="E9" s="339">
        <f>'F7'!K11</f>
        <v>68.069999989250007</v>
      </c>
      <c r="F9" s="476">
        <f>'F7'!M11</f>
        <v>77.270000005666716</v>
      </c>
      <c r="G9" s="333">
        <f>'F7'!O11</f>
        <v>80.63653416066667</v>
      </c>
    </row>
    <row r="10" spans="2:7" x14ac:dyDescent="0.3">
      <c r="B10" s="369">
        <v>4</v>
      </c>
      <c r="C10" s="390" t="str">
        <f>[44]IWC!C11</f>
        <v>Total WC requirement</v>
      </c>
      <c r="D10" s="346">
        <f>SUM(D7:D9)</f>
        <v>122.25026082798618</v>
      </c>
      <c r="E10" s="339">
        <f>'F7'!K12</f>
        <v>107.58999998925</v>
      </c>
      <c r="F10" s="476">
        <f>'F7'!M12</f>
        <v>123.0968983044761</v>
      </c>
      <c r="G10" s="333">
        <f>'F7'!O12</f>
        <v>129.6307361789905</v>
      </c>
    </row>
    <row r="11" spans="2:7" x14ac:dyDescent="0.3">
      <c r="B11" s="369">
        <v>5</v>
      </c>
      <c r="C11" s="390" t="str">
        <f>[44]IWC!C12</f>
        <v>Less: Int on SD from Trans. Users</v>
      </c>
      <c r="D11" s="346">
        <f>'F7'!I13</f>
        <v>0</v>
      </c>
      <c r="E11" s="339">
        <f>'F7'!K13</f>
        <v>0</v>
      </c>
      <c r="F11" s="476">
        <f>'F7'!M13</f>
        <v>0</v>
      </c>
      <c r="G11" s="334"/>
    </row>
    <row r="12" spans="2:7" x14ac:dyDescent="0.3">
      <c r="B12" s="369">
        <v>6</v>
      </c>
      <c r="C12" s="390" t="str">
        <f>[44]IWC!C13</f>
        <v xml:space="preserve">Gross Interest on Working Capital </v>
      </c>
      <c r="D12" s="346">
        <f>'F7'!I14</f>
        <v>122.25026082798618</v>
      </c>
      <c r="E12" s="339">
        <f>'F7'!K14</f>
        <v>107.58999998925</v>
      </c>
      <c r="F12" s="476">
        <f>'F7'!M14</f>
        <v>123.0968983044761</v>
      </c>
      <c r="G12" s="333">
        <f>'F7'!O14</f>
        <v>129.6307361789905</v>
      </c>
    </row>
    <row r="13" spans="2:7" x14ac:dyDescent="0.3">
      <c r="B13" s="369">
        <v>7</v>
      </c>
      <c r="C13" s="390" t="str">
        <f>[44]IWC!C14</f>
        <v>Rate of Interest on WC</v>
      </c>
      <c r="D13" s="349">
        <f>'F7'!I15</f>
        <v>0.122</v>
      </c>
      <c r="E13" s="349">
        <f>'F7'!K15</f>
        <v>0.1255</v>
      </c>
      <c r="F13" s="397">
        <f>'F7'!M15</f>
        <v>0.109</v>
      </c>
      <c r="G13" s="397">
        <f>'F7'!O15</f>
        <v>0.109</v>
      </c>
    </row>
    <row r="14" spans="2:7" x14ac:dyDescent="0.3">
      <c r="B14" s="401">
        <v>8</v>
      </c>
      <c r="C14" s="402" t="str">
        <f>[44]IWC!C15</f>
        <v>Net Interest on Working Capital</v>
      </c>
      <c r="D14" s="403">
        <f>D12*D13</f>
        <v>14.914531821014315</v>
      </c>
      <c r="E14" s="403">
        <f>'F7'!K16</f>
        <v>13.502544998650876</v>
      </c>
      <c r="F14" s="476">
        <f>'F7'!M16</f>
        <v>13.417561915187894</v>
      </c>
      <c r="G14" s="333">
        <f>'F7'!O16</f>
        <v>14.129750243509966</v>
      </c>
    </row>
    <row r="15" spans="2:7" x14ac:dyDescent="0.3">
      <c r="B15" s="133"/>
      <c r="C15" s="404" t="s">
        <v>676</v>
      </c>
      <c r="D15" s="103"/>
      <c r="E15" s="393"/>
    </row>
    <row r="16" spans="2:7" x14ac:dyDescent="0.3">
      <c r="B16" s="405"/>
      <c r="C16" s="406" t="s">
        <v>677</v>
      </c>
      <c r="D16" s="407"/>
      <c r="E16" s="396"/>
    </row>
    <row r="19" spans="2:3" x14ac:dyDescent="0.3">
      <c r="B19" s="117"/>
    </row>
    <row r="20" spans="2:3" ht="12.75" customHeight="1" x14ac:dyDescent="0.3">
      <c r="B20" s="121"/>
      <c r="C20" s="121"/>
    </row>
    <row r="21" spans="2:3" ht="12.75" customHeight="1" x14ac:dyDescent="0.3">
      <c r="B21" s="121"/>
      <c r="C21" s="121"/>
    </row>
    <row r="22" spans="2:3" ht="25.5" customHeight="1" x14ac:dyDescent="0.3">
      <c r="B22" s="121"/>
      <c r="C22" s="121"/>
    </row>
    <row r="23" spans="2:3" x14ac:dyDescent="0.3">
      <c r="B23" s="121"/>
      <c r="C23" s="121"/>
    </row>
    <row r="24" spans="2:3" ht="38.25" customHeight="1" x14ac:dyDescent="0.3">
      <c r="B24" s="121"/>
      <c r="C24" s="121"/>
    </row>
    <row r="25" spans="2:3" ht="38.25" customHeight="1" x14ac:dyDescent="0.3">
      <c r="B25" s="121"/>
      <c r="C25" s="121"/>
    </row>
    <row r="26" spans="2:3" ht="38.25" customHeight="1" x14ac:dyDescent="0.3">
      <c r="B26" s="121"/>
      <c r="C26" s="121"/>
    </row>
    <row r="27" spans="2:3" ht="38.25" customHeight="1" x14ac:dyDescent="0.3">
      <c r="B27" s="121"/>
      <c r="C27" s="121"/>
    </row>
    <row r="28" spans="2:3" ht="38.25" customHeight="1" x14ac:dyDescent="0.3">
      <c r="B28" s="133"/>
      <c r="C28" s="103"/>
    </row>
  </sheetData>
  <mergeCells count="3">
    <mergeCell ref="B4:G4"/>
    <mergeCell ref="B3:G3"/>
    <mergeCell ref="B2:G2"/>
  </mergeCells>
  <pageMargins left="0.7" right="0.7" top="0.75" bottom="0.75" header="0.3" footer="0.3"/>
  <pageSetup scale="52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B2:G27"/>
  <sheetViews>
    <sheetView showGridLines="0" topLeftCell="A3" zoomScaleNormal="100" zoomScaleSheetLayoutView="90" workbookViewId="0">
      <selection activeCell="G20" sqref="G20"/>
    </sheetView>
  </sheetViews>
  <sheetFormatPr defaultRowHeight="13.8" x14ac:dyDescent="0.3"/>
  <cols>
    <col min="1" max="1" width="3.5546875" style="103" customWidth="1"/>
    <col min="2" max="2" width="7" style="103" customWidth="1"/>
    <col min="3" max="3" width="43.6640625" style="103" customWidth="1"/>
    <col min="4" max="4" width="15" style="103" hidden="1" customWidth="1"/>
    <col min="5" max="5" width="10.33203125" style="103" hidden="1" customWidth="1"/>
    <col min="6" max="6" width="12" style="103" bestFit="1" customWidth="1"/>
    <col min="7" max="7" width="12.5546875" style="103" bestFit="1" customWidth="1"/>
    <col min="8" max="250" width="9.33203125" style="103"/>
    <col min="251" max="251" width="3.5546875" style="103" customWidth="1"/>
    <col min="252" max="252" width="7" style="103" customWidth="1"/>
    <col min="253" max="253" width="43.6640625" style="103" customWidth="1"/>
    <col min="254" max="254" width="9.6640625" style="103" bestFit="1" customWidth="1"/>
    <col min="255" max="255" width="0" style="103" hidden="1" customWidth="1"/>
    <col min="256" max="260" width="9.6640625" style="103" bestFit="1" customWidth="1"/>
    <col min="261" max="506" width="9.33203125" style="103"/>
    <col min="507" max="507" width="3.5546875" style="103" customWidth="1"/>
    <col min="508" max="508" width="7" style="103" customWidth="1"/>
    <col min="509" max="509" width="43.6640625" style="103" customWidth="1"/>
    <col min="510" max="510" width="9.6640625" style="103" bestFit="1" customWidth="1"/>
    <col min="511" max="511" width="0" style="103" hidden="1" customWidth="1"/>
    <col min="512" max="516" width="9.6640625" style="103" bestFit="1" customWidth="1"/>
    <col min="517" max="762" width="9.33203125" style="103"/>
    <col min="763" max="763" width="3.5546875" style="103" customWidth="1"/>
    <col min="764" max="764" width="7" style="103" customWidth="1"/>
    <col min="765" max="765" width="43.6640625" style="103" customWidth="1"/>
    <col min="766" max="766" width="9.6640625" style="103" bestFit="1" customWidth="1"/>
    <col min="767" max="767" width="0" style="103" hidden="1" customWidth="1"/>
    <col min="768" max="772" width="9.6640625" style="103" bestFit="1" customWidth="1"/>
    <col min="773" max="1018" width="9.33203125" style="103"/>
    <col min="1019" max="1019" width="3.5546875" style="103" customWidth="1"/>
    <col min="1020" max="1020" width="7" style="103" customWidth="1"/>
    <col min="1021" max="1021" width="43.6640625" style="103" customWidth="1"/>
    <col min="1022" max="1022" width="9.6640625" style="103" bestFit="1" customWidth="1"/>
    <col min="1023" max="1023" width="0" style="103" hidden="1" customWidth="1"/>
    <col min="1024" max="1028" width="9.6640625" style="103" bestFit="1" customWidth="1"/>
    <col min="1029" max="1274" width="9.33203125" style="103"/>
    <col min="1275" max="1275" width="3.5546875" style="103" customWidth="1"/>
    <col min="1276" max="1276" width="7" style="103" customWidth="1"/>
    <col min="1277" max="1277" width="43.6640625" style="103" customWidth="1"/>
    <col min="1278" max="1278" width="9.6640625" style="103" bestFit="1" customWidth="1"/>
    <col min="1279" max="1279" width="0" style="103" hidden="1" customWidth="1"/>
    <col min="1280" max="1284" width="9.6640625" style="103" bestFit="1" customWidth="1"/>
    <col min="1285" max="1530" width="9.33203125" style="103"/>
    <col min="1531" max="1531" width="3.5546875" style="103" customWidth="1"/>
    <col min="1532" max="1532" width="7" style="103" customWidth="1"/>
    <col min="1533" max="1533" width="43.6640625" style="103" customWidth="1"/>
    <col min="1534" max="1534" width="9.6640625" style="103" bestFit="1" customWidth="1"/>
    <col min="1535" max="1535" width="0" style="103" hidden="1" customWidth="1"/>
    <col min="1536" max="1540" width="9.6640625" style="103" bestFit="1" customWidth="1"/>
    <col min="1541" max="1786" width="9.33203125" style="103"/>
    <col min="1787" max="1787" width="3.5546875" style="103" customWidth="1"/>
    <col min="1788" max="1788" width="7" style="103" customWidth="1"/>
    <col min="1789" max="1789" width="43.6640625" style="103" customWidth="1"/>
    <col min="1790" max="1790" width="9.6640625" style="103" bestFit="1" customWidth="1"/>
    <col min="1791" max="1791" width="0" style="103" hidden="1" customWidth="1"/>
    <col min="1792" max="1796" width="9.6640625" style="103" bestFit="1" customWidth="1"/>
    <col min="1797" max="2042" width="9.33203125" style="103"/>
    <col min="2043" max="2043" width="3.5546875" style="103" customWidth="1"/>
    <col min="2044" max="2044" width="7" style="103" customWidth="1"/>
    <col min="2045" max="2045" width="43.6640625" style="103" customWidth="1"/>
    <col min="2046" max="2046" width="9.6640625" style="103" bestFit="1" customWidth="1"/>
    <col min="2047" max="2047" width="0" style="103" hidden="1" customWidth="1"/>
    <col min="2048" max="2052" width="9.6640625" style="103" bestFit="1" customWidth="1"/>
    <col min="2053" max="2298" width="9.33203125" style="103"/>
    <col min="2299" max="2299" width="3.5546875" style="103" customWidth="1"/>
    <col min="2300" max="2300" width="7" style="103" customWidth="1"/>
    <col min="2301" max="2301" width="43.6640625" style="103" customWidth="1"/>
    <col min="2302" max="2302" width="9.6640625" style="103" bestFit="1" customWidth="1"/>
    <col min="2303" max="2303" width="0" style="103" hidden="1" customWidth="1"/>
    <col min="2304" max="2308" width="9.6640625" style="103" bestFit="1" customWidth="1"/>
    <col min="2309" max="2554" width="9.33203125" style="103"/>
    <col min="2555" max="2555" width="3.5546875" style="103" customWidth="1"/>
    <col min="2556" max="2556" width="7" style="103" customWidth="1"/>
    <col min="2557" max="2557" width="43.6640625" style="103" customWidth="1"/>
    <col min="2558" max="2558" width="9.6640625" style="103" bestFit="1" customWidth="1"/>
    <col min="2559" max="2559" width="0" style="103" hidden="1" customWidth="1"/>
    <col min="2560" max="2564" width="9.6640625" style="103" bestFit="1" customWidth="1"/>
    <col min="2565" max="2810" width="9.33203125" style="103"/>
    <col min="2811" max="2811" width="3.5546875" style="103" customWidth="1"/>
    <col min="2812" max="2812" width="7" style="103" customWidth="1"/>
    <col min="2813" max="2813" width="43.6640625" style="103" customWidth="1"/>
    <col min="2814" max="2814" width="9.6640625" style="103" bestFit="1" customWidth="1"/>
    <col min="2815" max="2815" width="0" style="103" hidden="1" customWidth="1"/>
    <col min="2816" max="2820" width="9.6640625" style="103" bestFit="1" customWidth="1"/>
    <col min="2821" max="3066" width="9.33203125" style="103"/>
    <col min="3067" max="3067" width="3.5546875" style="103" customWidth="1"/>
    <col min="3068" max="3068" width="7" style="103" customWidth="1"/>
    <col min="3069" max="3069" width="43.6640625" style="103" customWidth="1"/>
    <col min="3070" max="3070" width="9.6640625" style="103" bestFit="1" customWidth="1"/>
    <col min="3071" max="3071" width="0" style="103" hidden="1" customWidth="1"/>
    <col min="3072" max="3076" width="9.6640625" style="103" bestFit="1" customWidth="1"/>
    <col min="3077" max="3322" width="9.33203125" style="103"/>
    <col min="3323" max="3323" width="3.5546875" style="103" customWidth="1"/>
    <col min="3324" max="3324" width="7" style="103" customWidth="1"/>
    <col min="3325" max="3325" width="43.6640625" style="103" customWidth="1"/>
    <col min="3326" max="3326" width="9.6640625" style="103" bestFit="1" customWidth="1"/>
    <col min="3327" max="3327" width="0" style="103" hidden="1" customWidth="1"/>
    <col min="3328" max="3332" width="9.6640625" style="103" bestFit="1" customWidth="1"/>
    <col min="3333" max="3578" width="9.33203125" style="103"/>
    <col min="3579" max="3579" width="3.5546875" style="103" customWidth="1"/>
    <col min="3580" max="3580" width="7" style="103" customWidth="1"/>
    <col min="3581" max="3581" width="43.6640625" style="103" customWidth="1"/>
    <col min="3582" max="3582" width="9.6640625" style="103" bestFit="1" customWidth="1"/>
    <col min="3583" max="3583" width="0" style="103" hidden="1" customWidth="1"/>
    <col min="3584" max="3588" width="9.6640625" style="103" bestFit="1" customWidth="1"/>
    <col min="3589" max="3834" width="9.33203125" style="103"/>
    <col min="3835" max="3835" width="3.5546875" style="103" customWidth="1"/>
    <col min="3836" max="3836" width="7" style="103" customWidth="1"/>
    <col min="3837" max="3837" width="43.6640625" style="103" customWidth="1"/>
    <col min="3838" max="3838" width="9.6640625" style="103" bestFit="1" customWidth="1"/>
    <col min="3839" max="3839" width="0" style="103" hidden="1" customWidth="1"/>
    <col min="3840" max="3844" width="9.6640625" style="103" bestFit="1" customWidth="1"/>
    <col min="3845" max="4090" width="9.33203125" style="103"/>
    <col min="4091" max="4091" width="3.5546875" style="103" customWidth="1"/>
    <col min="4092" max="4092" width="7" style="103" customWidth="1"/>
    <col min="4093" max="4093" width="43.6640625" style="103" customWidth="1"/>
    <col min="4094" max="4094" width="9.6640625" style="103" bestFit="1" customWidth="1"/>
    <col min="4095" max="4095" width="0" style="103" hidden="1" customWidth="1"/>
    <col min="4096" max="4100" width="9.6640625" style="103" bestFit="1" customWidth="1"/>
    <col min="4101" max="4346" width="9.33203125" style="103"/>
    <col min="4347" max="4347" width="3.5546875" style="103" customWidth="1"/>
    <col min="4348" max="4348" width="7" style="103" customWidth="1"/>
    <col min="4349" max="4349" width="43.6640625" style="103" customWidth="1"/>
    <col min="4350" max="4350" width="9.6640625" style="103" bestFit="1" customWidth="1"/>
    <col min="4351" max="4351" width="0" style="103" hidden="1" customWidth="1"/>
    <col min="4352" max="4356" width="9.6640625" style="103" bestFit="1" customWidth="1"/>
    <col min="4357" max="4602" width="9.33203125" style="103"/>
    <col min="4603" max="4603" width="3.5546875" style="103" customWidth="1"/>
    <col min="4604" max="4604" width="7" style="103" customWidth="1"/>
    <col min="4605" max="4605" width="43.6640625" style="103" customWidth="1"/>
    <col min="4606" max="4606" width="9.6640625" style="103" bestFit="1" customWidth="1"/>
    <col min="4607" max="4607" width="0" style="103" hidden="1" customWidth="1"/>
    <col min="4608" max="4612" width="9.6640625" style="103" bestFit="1" customWidth="1"/>
    <col min="4613" max="4858" width="9.33203125" style="103"/>
    <col min="4859" max="4859" width="3.5546875" style="103" customWidth="1"/>
    <col min="4860" max="4860" width="7" style="103" customWidth="1"/>
    <col min="4861" max="4861" width="43.6640625" style="103" customWidth="1"/>
    <col min="4862" max="4862" width="9.6640625" style="103" bestFit="1" customWidth="1"/>
    <col min="4863" max="4863" width="0" style="103" hidden="1" customWidth="1"/>
    <col min="4864" max="4868" width="9.6640625" style="103" bestFit="1" customWidth="1"/>
    <col min="4869" max="5114" width="9.33203125" style="103"/>
    <col min="5115" max="5115" width="3.5546875" style="103" customWidth="1"/>
    <col min="5116" max="5116" width="7" style="103" customWidth="1"/>
    <col min="5117" max="5117" width="43.6640625" style="103" customWidth="1"/>
    <col min="5118" max="5118" width="9.6640625" style="103" bestFit="1" customWidth="1"/>
    <col min="5119" max="5119" width="0" style="103" hidden="1" customWidth="1"/>
    <col min="5120" max="5124" width="9.6640625" style="103" bestFit="1" customWidth="1"/>
    <col min="5125" max="5370" width="9.33203125" style="103"/>
    <col min="5371" max="5371" width="3.5546875" style="103" customWidth="1"/>
    <col min="5372" max="5372" width="7" style="103" customWidth="1"/>
    <col min="5373" max="5373" width="43.6640625" style="103" customWidth="1"/>
    <col min="5374" max="5374" width="9.6640625" style="103" bestFit="1" customWidth="1"/>
    <col min="5375" max="5375" width="0" style="103" hidden="1" customWidth="1"/>
    <col min="5376" max="5380" width="9.6640625" style="103" bestFit="1" customWidth="1"/>
    <col min="5381" max="5626" width="9.33203125" style="103"/>
    <col min="5627" max="5627" width="3.5546875" style="103" customWidth="1"/>
    <col min="5628" max="5628" width="7" style="103" customWidth="1"/>
    <col min="5629" max="5629" width="43.6640625" style="103" customWidth="1"/>
    <col min="5630" max="5630" width="9.6640625" style="103" bestFit="1" customWidth="1"/>
    <col min="5631" max="5631" width="0" style="103" hidden="1" customWidth="1"/>
    <col min="5632" max="5636" width="9.6640625" style="103" bestFit="1" customWidth="1"/>
    <col min="5637" max="5882" width="9.33203125" style="103"/>
    <col min="5883" max="5883" width="3.5546875" style="103" customWidth="1"/>
    <col min="5884" max="5884" width="7" style="103" customWidth="1"/>
    <col min="5885" max="5885" width="43.6640625" style="103" customWidth="1"/>
    <col min="5886" max="5886" width="9.6640625" style="103" bestFit="1" customWidth="1"/>
    <col min="5887" max="5887" width="0" style="103" hidden="1" customWidth="1"/>
    <col min="5888" max="5892" width="9.6640625" style="103" bestFit="1" customWidth="1"/>
    <col min="5893" max="6138" width="9.33203125" style="103"/>
    <col min="6139" max="6139" width="3.5546875" style="103" customWidth="1"/>
    <col min="6140" max="6140" width="7" style="103" customWidth="1"/>
    <col min="6141" max="6141" width="43.6640625" style="103" customWidth="1"/>
    <col min="6142" max="6142" width="9.6640625" style="103" bestFit="1" customWidth="1"/>
    <col min="6143" max="6143" width="0" style="103" hidden="1" customWidth="1"/>
    <col min="6144" max="6148" width="9.6640625" style="103" bestFit="1" customWidth="1"/>
    <col min="6149" max="6394" width="9.33203125" style="103"/>
    <col min="6395" max="6395" width="3.5546875" style="103" customWidth="1"/>
    <col min="6396" max="6396" width="7" style="103" customWidth="1"/>
    <col min="6397" max="6397" width="43.6640625" style="103" customWidth="1"/>
    <col min="6398" max="6398" width="9.6640625" style="103" bestFit="1" customWidth="1"/>
    <col min="6399" max="6399" width="0" style="103" hidden="1" customWidth="1"/>
    <col min="6400" max="6404" width="9.6640625" style="103" bestFit="1" customWidth="1"/>
    <col min="6405" max="6650" width="9.33203125" style="103"/>
    <col min="6651" max="6651" width="3.5546875" style="103" customWidth="1"/>
    <col min="6652" max="6652" width="7" style="103" customWidth="1"/>
    <col min="6653" max="6653" width="43.6640625" style="103" customWidth="1"/>
    <col min="6654" max="6654" width="9.6640625" style="103" bestFit="1" customWidth="1"/>
    <col min="6655" max="6655" width="0" style="103" hidden="1" customWidth="1"/>
    <col min="6656" max="6660" width="9.6640625" style="103" bestFit="1" customWidth="1"/>
    <col min="6661" max="6906" width="9.33203125" style="103"/>
    <col min="6907" max="6907" width="3.5546875" style="103" customWidth="1"/>
    <col min="6908" max="6908" width="7" style="103" customWidth="1"/>
    <col min="6909" max="6909" width="43.6640625" style="103" customWidth="1"/>
    <col min="6910" max="6910" width="9.6640625" style="103" bestFit="1" customWidth="1"/>
    <col min="6911" max="6911" width="0" style="103" hidden="1" customWidth="1"/>
    <col min="6912" max="6916" width="9.6640625" style="103" bestFit="1" customWidth="1"/>
    <col min="6917" max="7162" width="9.33203125" style="103"/>
    <col min="7163" max="7163" width="3.5546875" style="103" customWidth="1"/>
    <col min="7164" max="7164" width="7" style="103" customWidth="1"/>
    <col min="7165" max="7165" width="43.6640625" style="103" customWidth="1"/>
    <col min="7166" max="7166" width="9.6640625" style="103" bestFit="1" customWidth="1"/>
    <col min="7167" max="7167" width="0" style="103" hidden="1" customWidth="1"/>
    <col min="7168" max="7172" width="9.6640625" style="103" bestFit="1" customWidth="1"/>
    <col min="7173" max="7418" width="9.33203125" style="103"/>
    <col min="7419" max="7419" width="3.5546875" style="103" customWidth="1"/>
    <col min="7420" max="7420" width="7" style="103" customWidth="1"/>
    <col min="7421" max="7421" width="43.6640625" style="103" customWidth="1"/>
    <col min="7422" max="7422" width="9.6640625" style="103" bestFit="1" customWidth="1"/>
    <col min="7423" max="7423" width="0" style="103" hidden="1" customWidth="1"/>
    <col min="7424" max="7428" width="9.6640625" style="103" bestFit="1" customWidth="1"/>
    <col min="7429" max="7674" width="9.33203125" style="103"/>
    <col min="7675" max="7675" width="3.5546875" style="103" customWidth="1"/>
    <col min="7676" max="7676" width="7" style="103" customWidth="1"/>
    <col min="7677" max="7677" width="43.6640625" style="103" customWidth="1"/>
    <col min="7678" max="7678" width="9.6640625" style="103" bestFit="1" customWidth="1"/>
    <col min="7679" max="7679" width="0" style="103" hidden="1" customWidth="1"/>
    <col min="7680" max="7684" width="9.6640625" style="103" bestFit="1" customWidth="1"/>
    <col min="7685" max="7930" width="9.33203125" style="103"/>
    <col min="7931" max="7931" width="3.5546875" style="103" customWidth="1"/>
    <col min="7932" max="7932" width="7" style="103" customWidth="1"/>
    <col min="7933" max="7933" width="43.6640625" style="103" customWidth="1"/>
    <col min="7934" max="7934" width="9.6640625" style="103" bestFit="1" customWidth="1"/>
    <col min="7935" max="7935" width="0" style="103" hidden="1" customWidth="1"/>
    <col min="7936" max="7940" width="9.6640625" style="103" bestFit="1" customWidth="1"/>
    <col min="7941" max="8186" width="9.33203125" style="103"/>
    <col min="8187" max="8187" width="3.5546875" style="103" customWidth="1"/>
    <col min="8188" max="8188" width="7" style="103" customWidth="1"/>
    <col min="8189" max="8189" width="43.6640625" style="103" customWidth="1"/>
    <col min="8190" max="8190" width="9.6640625" style="103" bestFit="1" customWidth="1"/>
    <col min="8191" max="8191" width="0" style="103" hidden="1" customWidth="1"/>
    <col min="8192" max="8196" width="9.6640625" style="103" bestFit="1" customWidth="1"/>
    <col min="8197" max="8442" width="9.33203125" style="103"/>
    <col min="8443" max="8443" width="3.5546875" style="103" customWidth="1"/>
    <col min="8444" max="8444" width="7" style="103" customWidth="1"/>
    <col min="8445" max="8445" width="43.6640625" style="103" customWidth="1"/>
    <col min="8446" max="8446" width="9.6640625" style="103" bestFit="1" customWidth="1"/>
    <col min="8447" max="8447" width="0" style="103" hidden="1" customWidth="1"/>
    <col min="8448" max="8452" width="9.6640625" style="103" bestFit="1" customWidth="1"/>
    <col min="8453" max="8698" width="9.33203125" style="103"/>
    <col min="8699" max="8699" width="3.5546875" style="103" customWidth="1"/>
    <col min="8700" max="8700" width="7" style="103" customWidth="1"/>
    <col min="8701" max="8701" width="43.6640625" style="103" customWidth="1"/>
    <col min="8702" max="8702" width="9.6640625" style="103" bestFit="1" customWidth="1"/>
    <col min="8703" max="8703" width="0" style="103" hidden="1" customWidth="1"/>
    <col min="8704" max="8708" width="9.6640625" style="103" bestFit="1" customWidth="1"/>
    <col min="8709" max="8954" width="9.33203125" style="103"/>
    <col min="8955" max="8955" width="3.5546875" style="103" customWidth="1"/>
    <col min="8956" max="8956" width="7" style="103" customWidth="1"/>
    <col min="8957" max="8957" width="43.6640625" style="103" customWidth="1"/>
    <col min="8958" max="8958" width="9.6640625" style="103" bestFit="1" customWidth="1"/>
    <col min="8959" max="8959" width="0" style="103" hidden="1" customWidth="1"/>
    <col min="8960" max="8964" width="9.6640625" style="103" bestFit="1" customWidth="1"/>
    <col min="8965" max="9210" width="9.33203125" style="103"/>
    <col min="9211" max="9211" width="3.5546875" style="103" customWidth="1"/>
    <col min="9212" max="9212" width="7" style="103" customWidth="1"/>
    <col min="9213" max="9213" width="43.6640625" style="103" customWidth="1"/>
    <col min="9214" max="9214" width="9.6640625" style="103" bestFit="1" customWidth="1"/>
    <col min="9215" max="9215" width="0" style="103" hidden="1" customWidth="1"/>
    <col min="9216" max="9220" width="9.6640625" style="103" bestFit="1" customWidth="1"/>
    <col min="9221" max="9466" width="9.33203125" style="103"/>
    <col min="9467" max="9467" width="3.5546875" style="103" customWidth="1"/>
    <col min="9468" max="9468" width="7" style="103" customWidth="1"/>
    <col min="9469" max="9469" width="43.6640625" style="103" customWidth="1"/>
    <col min="9470" max="9470" width="9.6640625" style="103" bestFit="1" customWidth="1"/>
    <col min="9471" max="9471" width="0" style="103" hidden="1" customWidth="1"/>
    <col min="9472" max="9476" width="9.6640625" style="103" bestFit="1" customWidth="1"/>
    <col min="9477" max="9722" width="9.33203125" style="103"/>
    <col min="9723" max="9723" width="3.5546875" style="103" customWidth="1"/>
    <col min="9724" max="9724" width="7" style="103" customWidth="1"/>
    <col min="9725" max="9725" width="43.6640625" style="103" customWidth="1"/>
    <col min="9726" max="9726" width="9.6640625" style="103" bestFit="1" customWidth="1"/>
    <col min="9727" max="9727" width="0" style="103" hidden="1" customWidth="1"/>
    <col min="9728" max="9732" width="9.6640625" style="103" bestFit="1" customWidth="1"/>
    <col min="9733" max="9978" width="9.33203125" style="103"/>
    <col min="9979" max="9979" width="3.5546875" style="103" customWidth="1"/>
    <col min="9980" max="9980" width="7" style="103" customWidth="1"/>
    <col min="9981" max="9981" width="43.6640625" style="103" customWidth="1"/>
    <col min="9982" max="9982" width="9.6640625" style="103" bestFit="1" customWidth="1"/>
    <col min="9983" max="9983" width="0" style="103" hidden="1" customWidth="1"/>
    <col min="9984" max="9988" width="9.6640625" style="103" bestFit="1" customWidth="1"/>
    <col min="9989" max="10234" width="9.33203125" style="103"/>
    <col min="10235" max="10235" width="3.5546875" style="103" customWidth="1"/>
    <col min="10236" max="10236" width="7" style="103" customWidth="1"/>
    <col min="10237" max="10237" width="43.6640625" style="103" customWidth="1"/>
    <col min="10238" max="10238" width="9.6640625" style="103" bestFit="1" customWidth="1"/>
    <col min="10239" max="10239" width="0" style="103" hidden="1" customWidth="1"/>
    <col min="10240" max="10244" width="9.6640625" style="103" bestFit="1" customWidth="1"/>
    <col min="10245" max="10490" width="9.33203125" style="103"/>
    <col min="10491" max="10491" width="3.5546875" style="103" customWidth="1"/>
    <col min="10492" max="10492" width="7" style="103" customWidth="1"/>
    <col min="10493" max="10493" width="43.6640625" style="103" customWidth="1"/>
    <col min="10494" max="10494" width="9.6640625" style="103" bestFit="1" customWidth="1"/>
    <col min="10495" max="10495" width="0" style="103" hidden="1" customWidth="1"/>
    <col min="10496" max="10500" width="9.6640625" style="103" bestFit="1" customWidth="1"/>
    <col min="10501" max="10746" width="9.33203125" style="103"/>
    <col min="10747" max="10747" width="3.5546875" style="103" customWidth="1"/>
    <col min="10748" max="10748" width="7" style="103" customWidth="1"/>
    <col min="10749" max="10749" width="43.6640625" style="103" customWidth="1"/>
    <col min="10750" max="10750" width="9.6640625" style="103" bestFit="1" customWidth="1"/>
    <col min="10751" max="10751" width="0" style="103" hidden="1" customWidth="1"/>
    <col min="10752" max="10756" width="9.6640625" style="103" bestFit="1" customWidth="1"/>
    <col min="10757" max="11002" width="9.33203125" style="103"/>
    <col min="11003" max="11003" width="3.5546875" style="103" customWidth="1"/>
    <col min="11004" max="11004" width="7" style="103" customWidth="1"/>
    <col min="11005" max="11005" width="43.6640625" style="103" customWidth="1"/>
    <col min="11006" max="11006" width="9.6640625" style="103" bestFit="1" customWidth="1"/>
    <col min="11007" max="11007" width="0" style="103" hidden="1" customWidth="1"/>
    <col min="11008" max="11012" width="9.6640625" style="103" bestFit="1" customWidth="1"/>
    <col min="11013" max="11258" width="9.33203125" style="103"/>
    <col min="11259" max="11259" width="3.5546875" style="103" customWidth="1"/>
    <col min="11260" max="11260" width="7" style="103" customWidth="1"/>
    <col min="11261" max="11261" width="43.6640625" style="103" customWidth="1"/>
    <col min="11262" max="11262" width="9.6640625" style="103" bestFit="1" customWidth="1"/>
    <col min="11263" max="11263" width="0" style="103" hidden="1" customWidth="1"/>
    <col min="11264" max="11268" width="9.6640625" style="103" bestFit="1" customWidth="1"/>
    <col min="11269" max="11514" width="9.33203125" style="103"/>
    <col min="11515" max="11515" width="3.5546875" style="103" customWidth="1"/>
    <col min="11516" max="11516" width="7" style="103" customWidth="1"/>
    <col min="11517" max="11517" width="43.6640625" style="103" customWidth="1"/>
    <col min="11518" max="11518" width="9.6640625" style="103" bestFit="1" customWidth="1"/>
    <col min="11519" max="11519" width="0" style="103" hidden="1" customWidth="1"/>
    <col min="11520" max="11524" width="9.6640625" style="103" bestFit="1" customWidth="1"/>
    <col min="11525" max="11770" width="9.33203125" style="103"/>
    <col min="11771" max="11771" width="3.5546875" style="103" customWidth="1"/>
    <col min="11772" max="11772" width="7" style="103" customWidth="1"/>
    <col min="11773" max="11773" width="43.6640625" style="103" customWidth="1"/>
    <col min="11774" max="11774" width="9.6640625" style="103" bestFit="1" customWidth="1"/>
    <col min="11775" max="11775" width="0" style="103" hidden="1" customWidth="1"/>
    <col min="11776" max="11780" width="9.6640625" style="103" bestFit="1" customWidth="1"/>
    <col min="11781" max="12026" width="9.33203125" style="103"/>
    <col min="12027" max="12027" width="3.5546875" style="103" customWidth="1"/>
    <col min="12028" max="12028" width="7" style="103" customWidth="1"/>
    <col min="12029" max="12029" width="43.6640625" style="103" customWidth="1"/>
    <col min="12030" max="12030" width="9.6640625" style="103" bestFit="1" customWidth="1"/>
    <col min="12031" max="12031" width="0" style="103" hidden="1" customWidth="1"/>
    <col min="12032" max="12036" width="9.6640625" style="103" bestFit="1" customWidth="1"/>
    <col min="12037" max="12282" width="9.33203125" style="103"/>
    <col min="12283" max="12283" width="3.5546875" style="103" customWidth="1"/>
    <col min="12284" max="12284" width="7" style="103" customWidth="1"/>
    <col min="12285" max="12285" width="43.6640625" style="103" customWidth="1"/>
    <col min="12286" max="12286" width="9.6640625" style="103" bestFit="1" customWidth="1"/>
    <col min="12287" max="12287" width="0" style="103" hidden="1" customWidth="1"/>
    <col min="12288" max="12292" width="9.6640625" style="103" bestFit="1" customWidth="1"/>
    <col min="12293" max="12538" width="9.33203125" style="103"/>
    <col min="12539" max="12539" width="3.5546875" style="103" customWidth="1"/>
    <col min="12540" max="12540" width="7" style="103" customWidth="1"/>
    <col min="12541" max="12541" width="43.6640625" style="103" customWidth="1"/>
    <col min="12542" max="12542" width="9.6640625" style="103" bestFit="1" customWidth="1"/>
    <col min="12543" max="12543" width="0" style="103" hidden="1" customWidth="1"/>
    <col min="12544" max="12548" width="9.6640625" style="103" bestFit="1" customWidth="1"/>
    <col min="12549" max="12794" width="9.33203125" style="103"/>
    <col min="12795" max="12795" width="3.5546875" style="103" customWidth="1"/>
    <col min="12796" max="12796" width="7" style="103" customWidth="1"/>
    <col min="12797" max="12797" width="43.6640625" style="103" customWidth="1"/>
    <col min="12798" max="12798" width="9.6640625" style="103" bestFit="1" customWidth="1"/>
    <col min="12799" max="12799" width="0" style="103" hidden="1" customWidth="1"/>
    <col min="12800" max="12804" width="9.6640625" style="103" bestFit="1" customWidth="1"/>
    <col min="12805" max="13050" width="9.33203125" style="103"/>
    <col min="13051" max="13051" width="3.5546875" style="103" customWidth="1"/>
    <col min="13052" max="13052" width="7" style="103" customWidth="1"/>
    <col min="13053" max="13053" width="43.6640625" style="103" customWidth="1"/>
    <col min="13054" max="13054" width="9.6640625" style="103" bestFit="1" customWidth="1"/>
    <col min="13055" max="13055" width="0" style="103" hidden="1" customWidth="1"/>
    <col min="13056" max="13060" width="9.6640625" style="103" bestFit="1" customWidth="1"/>
    <col min="13061" max="13306" width="9.33203125" style="103"/>
    <col min="13307" max="13307" width="3.5546875" style="103" customWidth="1"/>
    <col min="13308" max="13308" width="7" style="103" customWidth="1"/>
    <col min="13309" max="13309" width="43.6640625" style="103" customWidth="1"/>
    <col min="13310" max="13310" width="9.6640625" style="103" bestFit="1" customWidth="1"/>
    <col min="13311" max="13311" width="0" style="103" hidden="1" customWidth="1"/>
    <col min="13312" max="13316" width="9.6640625" style="103" bestFit="1" customWidth="1"/>
    <col min="13317" max="13562" width="9.33203125" style="103"/>
    <col min="13563" max="13563" width="3.5546875" style="103" customWidth="1"/>
    <col min="13564" max="13564" width="7" style="103" customWidth="1"/>
    <col min="13565" max="13565" width="43.6640625" style="103" customWidth="1"/>
    <col min="13566" max="13566" width="9.6640625" style="103" bestFit="1" customWidth="1"/>
    <col min="13567" max="13567" width="0" style="103" hidden="1" customWidth="1"/>
    <col min="13568" max="13572" width="9.6640625" style="103" bestFit="1" customWidth="1"/>
    <col min="13573" max="13818" width="9.33203125" style="103"/>
    <col min="13819" max="13819" width="3.5546875" style="103" customWidth="1"/>
    <col min="13820" max="13820" width="7" style="103" customWidth="1"/>
    <col min="13821" max="13821" width="43.6640625" style="103" customWidth="1"/>
    <col min="13822" max="13822" width="9.6640625" style="103" bestFit="1" customWidth="1"/>
    <col min="13823" max="13823" width="0" style="103" hidden="1" customWidth="1"/>
    <col min="13824" max="13828" width="9.6640625" style="103" bestFit="1" customWidth="1"/>
    <col min="13829" max="14074" width="9.33203125" style="103"/>
    <col min="14075" max="14075" width="3.5546875" style="103" customWidth="1"/>
    <col min="14076" max="14076" width="7" style="103" customWidth="1"/>
    <col min="14077" max="14077" width="43.6640625" style="103" customWidth="1"/>
    <col min="14078" max="14078" width="9.6640625" style="103" bestFit="1" customWidth="1"/>
    <col min="14079" max="14079" width="0" style="103" hidden="1" customWidth="1"/>
    <col min="14080" max="14084" width="9.6640625" style="103" bestFit="1" customWidth="1"/>
    <col min="14085" max="14330" width="9.33203125" style="103"/>
    <col min="14331" max="14331" width="3.5546875" style="103" customWidth="1"/>
    <col min="14332" max="14332" width="7" style="103" customWidth="1"/>
    <col min="14333" max="14333" width="43.6640625" style="103" customWidth="1"/>
    <col min="14334" max="14334" width="9.6640625" style="103" bestFit="1" customWidth="1"/>
    <col min="14335" max="14335" width="0" style="103" hidden="1" customWidth="1"/>
    <col min="14336" max="14340" width="9.6640625" style="103" bestFit="1" customWidth="1"/>
    <col min="14341" max="14586" width="9.33203125" style="103"/>
    <col min="14587" max="14587" width="3.5546875" style="103" customWidth="1"/>
    <col min="14588" max="14588" width="7" style="103" customWidth="1"/>
    <col min="14589" max="14589" width="43.6640625" style="103" customWidth="1"/>
    <col min="14590" max="14590" width="9.6640625" style="103" bestFit="1" customWidth="1"/>
    <col min="14591" max="14591" width="0" style="103" hidden="1" customWidth="1"/>
    <col min="14592" max="14596" width="9.6640625" style="103" bestFit="1" customWidth="1"/>
    <col min="14597" max="14842" width="9.33203125" style="103"/>
    <col min="14843" max="14843" width="3.5546875" style="103" customWidth="1"/>
    <col min="14844" max="14844" width="7" style="103" customWidth="1"/>
    <col min="14845" max="14845" width="43.6640625" style="103" customWidth="1"/>
    <col min="14846" max="14846" width="9.6640625" style="103" bestFit="1" customWidth="1"/>
    <col min="14847" max="14847" width="0" style="103" hidden="1" customWidth="1"/>
    <col min="14848" max="14852" width="9.6640625" style="103" bestFit="1" customWidth="1"/>
    <col min="14853" max="15098" width="9.33203125" style="103"/>
    <col min="15099" max="15099" width="3.5546875" style="103" customWidth="1"/>
    <col min="15100" max="15100" width="7" style="103" customWidth="1"/>
    <col min="15101" max="15101" width="43.6640625" style="103" customWidth="1"/>
    <col min="15102" max="15102" width="9.6640625" style="103" bestFit="1" customWidth="1"/>
    <col min="15103" max="15103" width="0" style="103" hidden="1" customWidth="1"/>
    <col min="15104" max="15108" width="9.6640625" style="103" bestFit="1" customWidth="1"/>
    <col min="15109" max="15354" width="9.33203125" style="103"/>
    <col min="15355" max="15355" width="3.5546875" style="103" customWidth="1"/>
    <col min="15356" max="15356" width="7" style="103" customWidth="1"/>
    <col min="15357" max="15357" width="43.6640625" style="103" customWidth="1"/>
    <col min="15358" max="15358" width="9.6640625" style="103" bestFit="1" customWidth="1"/>
    <col min="15359" max="15359" width="0" style="103" hidden="1" customWidth="1"/>
    <col min="15360" max="15364" width="9.6640625" style="103" bestFit="1" customWidth="1"/>
    <col min="15365" max="15610" width="9.33203125" style="103"/>
    <col min="15611" max="15611" width="3.5546875" style="103" customWidth="1"/>
    <col min="15612" max="15612" width="7" style="103" customWidth="1"/>
    <col min="15613" max="15613" width="43.6640625" style="103" customWidth="1"/>
    <col min="15614" max="15614" width="9.6640625" style="103" bestFit="1" customWidth="1"/>
    <col min="15615" max="15615" width="0" style="103" hidden="1" customWidth="1"/>
    <col min="15616" max="15620" width="9.6640625" style="103" bestFit="1" customWidth="1"/>
    <col min="15621" max="15866" width="9.33203125" style="103"/>
    <col min="15867" max="15867" width="3.5546875" style="103" customWidth="1"/>
    <col min="15868" max="15868" width="7" style="103" customWidth="1"/>
    <col min="15869" max="15869" width="43.6640625" style="103" customWidth="1"/>
    <col min="15870" max="15870" width="9.6640625" style="103" bestFit="1" customWidth="1"/>
    <col min="15871" max="15871" width="0" style="103" hidden="1" customWidth="1"/>
    <col min="15872" max="15876" width="9.6640625" style="103" bestFit="1" customWidth="1"/>
    <col min="15877" max="16122" width="9.33203125" style="103"/>
    <col min="16123" max="16123" width="3.5546875" style="103" customWidth="1"/>
    <col min="16124" max="16124" width="7" style="103" customWidth="1"/>
    <col min="16125" max="16125" width="43.6640625" style="103" customWidth="1"/>
    <col min="16126" max="16126" width="9.6640625" style="103" bestFit="1" customWidth="1"/>
    <col min="16127" max="16127" width="0" style="103" hidden="1" customWidth="1"/>
    <col min="16128" max="16132" width="9.6640625" style="103" bestFit="1" customWidth="1"/>
    <col min="16133" max="16384" width="9.33203125" style="103"/>
  </cols>
  <sheetData>
    <row r="2" spans="2:7" ht="13.2" customHeight="1" x14ac:dyDescent="0.3">
      <c r="B2" s="645" t="s">
        <v>678</v>
      </c>
      <c r="C2" s="646"/>
      <c r="D2" s="646"/>
      <c r="E2" s="646"/>
      <c r="F2" s="646"/>
      <c r="G2" s="646"/>
    </row>
    <row r="3" spans="2:7" ht="12.75" customHeight="1" x14ac:dyDescent="0.3">
      <c r="B3" s="645" t="s">
        <v>679</v>
      </c>
      <c r="C3" s="646"/>
      <c r="D3" s="646"/>
      <c r="E3" s="646"/>
      <c r="F3" s="646"/>
      <c r="G3" s="646"/>
    </row>
    <row r="4" spans="2:7" ht="13.2" customHeight="1" x14ac:dyDescent="0.3">
      <c r="B4" s="633" t="str">
        <f>'F6 (2)'!B4:D4</f>
        <v>CHHATTISGARH STATE POWER TRANSMISSION COMPANY LIMITED</v>
      </c>
      <c r="C4" s="634"/>
      <c r="D4" s="634"/>
      <c r="E4" s="634"/>
      <c r="F4" s="634"/>
      <c r="G4" s="634"/>
    </row>
    <row r="5" spans="2:7" ht="19.5" customHeight="1" x14ac:dyDescent="0.3">
      <c r="B5" s="408" t="s">
        <v>1</v>
      </c>
      <c r="C5" s="409" t="s">
        <v>2</v>
      </c>
      <c r="D5" s="409" t="s">
        <v>26</v>
      </c>
      <c r="E5" s="410" t="s">
        <v>27</v>
      </c>
      <c r="F5" s="410" t="s">
        <v>28</v>
      </c>
      <c r="G5" s="410" t="s">
        <v>29</v>
      </c>
    </row>
    <row r="6" spans="2:7" ht="19.5" customHeight="1" x14ac:dyDescent="0.3">
      <c r="B6" s="570"/>
      <c r="C6" s="570"/>
      <c r="D6" s="570"/>
      <c r="E6" s="570"/>
      <c r="F6" s="570"/>
      <c r="G6" s="570"/>
    </row>
    <row r="7" spans="2:7" ht="27.6" x14ac:dyDescent="0.3">
      <c r="B7" s="416" t="s">
        <v>228</v>
      </c>
      <c r="C7" s="411" t="s">
        <v>680</v>
      </c>
      <c r="D7" s="331"/>
      <c r="E7" s="331"/>
      <c r="F7" s="334"/>
      <c r="G7" s="334"/>
    </row>
    <row r="8" spans="2:7" x14ac:dyDescent="0.3">
      <c r="B8" s="411"/>
      <c r="C8" s="411" t="s">
        <v>681</v>
      </c>
      <c r="D8" s="331"/>
      <c r="E8" s="331"/>
      <c r="F8" s="339">
        <f>'[25]32. Other income'!$G$23</f>
        <v>-0.49300609999999984</v>
      </c>
      <c r="G8" s="339">
        <f>'[25]32. Other income'!$F$23/10^2</f>
        <v>0.17638297599999897</v>
      </c>
    </row>
    <row r="9" spans="2:7" x14ac:dyDescent="0.3">
      <c r="B9" s="411"/>
      <c r="C9" s="411" t="s">
        <v>682</v>
      </c>
      <c r="D9" s="331"/>
      <c r="E9" s="331"/>
      <c r="F9" s="339">
        <f>'[25]32. Other income'!$G$24</f>
        <v>3.7027814000000059</v>
      </c>
      <c r="G9" s="339"/>
    </row>
    <row r="10" spans="2:7" x14ac:dyDescent="0.3">
      <c r="B10" s="412" t="s">
        <v>229</v>
      </c>
      <c r="C10" s="413" t="s">
        <v>531</v>
      </c>
      <c r="D10" s="346"/>
      <c r="E10" s="331"/>
      <c r="F10" s="339"/>
      <c r="G10" s="339"/>
    </row>
    <row r="11" spans="2:7" x14ac:dyDescent="0.3">
      <c r="B11" s="414">
        <v>1</v>
      </c>
      <c r="C11" s="334" t="s">
        <v>683</v>
      </c>
      <c r="D11" s="346">
        <f>'[22]32. Other income'!$F$26/10^7</f>
        <v>0.19352408600000001</v>
      </c>
      <c r="E11" s="339">
        <f>'[23]32. Other income'!$F$26/10^7</f>
        <v>0.11446685299999777</v>
      </c>
      <c r="F11" s="339">
        <f>'[24]32. Other income'!$F$26/10^7</f>
        <v>0.44122723700000049</v>
      </c>
      <c r="G11" s="339">
        <f>'[25]32. Other income'!$F$26/10^2</f>
        <v>0.38249689999999986</v>
      </c>
    </row>
    <row r="12" spans="2:7" x14ac:dyDescent="0.3">
      <c r="B12" s="414">
        <v>2</v>
      </c>
      <c r="C12" s="415" t="s">
        <v>684</v>
      </c>
      <c r="D12" s="346">
        <f>'[22]32. Other income'!$F$29/10^7</f>
        <v>5.3089380000000004</v>
      </c>
      <c r="E12" s="339">
        <f>'[23]32. Other income'!$F$29/10^7</f>
        <v>0</v>
      </c>
      <c r="F12" s="339">
        <f>'[24]32. Other income'!$F$29/10^7</f>
        <v>40.515714699999997</v>
      </c>
      <c r="G12" s="339">
        <f>'[25]32. Other income'!$F$29</f>
        <v>0</v>
      </c>
    </row>
    <row r="13" spans="2:7" x14ac:dyDescent="0.3">
      <c r="B13" s="414">
        <v>3</v>
      </c>
      <c r="C13" s="334" t="s">
        <v>685</v>
      </c>
      <c r="D13" s="346">
        <f>'[22]32. Other income'!$F$28/10^7</f>
        <v>1.8937658319999993</v>
      </c>
      <c r="E13" s="339">
        <f>'[23]32. Other income'!$F$28/10^7</f>
        <v>0.17962542599999998</v>
      </c>
      <c r="F13" s="339">
        <f>'[24]32. Other income'!$F$28/10^7</f>
        <v>0.40711964300000003</v>
      </c>
      <c r="G13" s="339">
        <f>'[25]32. Other income'!$F$28/10^2</f>
        <v>0.1083737</v>
      </c>
    </row>
    <row r="14" spans="2:7" x14ac:dyDescent="0.3">
      <c r="B14" s="414">
        <v>4</v>
      </c>
      <c r="C14" s="334" t="s">
        <v>686</v>
      </c>
      <c r="D14" s="346">
        <f>'[22]32. Other income'!$F$27/10^7</f>
        <v>5.1491200000000001E-2</v>
      </c>
      <c r="E14" s="339">
        <f>'[23]32. Other income'!$F$27/10^7</f>
        <v>3.9011850000000001E-2</v>
      </c>
      <c r="F14" s="339">
        <f>'[24]32. Other income'!$F$27/10^7</f>
        <v>6.8176499999999998E-3</v>
      </c>
      <c r="G14" s="339">
        <f>'[25]32. Other income'!$F$27/10^2</f>
        <v>5.9144460000000003E-3</v>
      </c>
    </row>
    <row r="15" spans="2:7" x14ac:dyDescent="0.3">
      <c r="B15" s="414"/>
      <c r="C15" s="334" t="s">
        <v>687</v>
      </c>
      <c r="D15" s="346"/>
      <c r="E15" s="339"/>
      <c r="F15" s="339"/>
      <c r="G15" s="339">
        <f>'[25]32. Other income'!$F$30/10^2</f>
        <v>1.3891945000000001</v>
      </c>
    </row>
    <row r="16" spans="2:7" x14ac:dyDescent="0.3">
      <c r="B16" s="416">
        <v>5</v>
      </c>
      <c r="C16" s="417" t="s">
        <v>688</v>
      </c>
      <c r="D16" s="340">
        <f>SUM(D11:D14)</f>
        <v>7.4477191179999993</v>
      </c>
      <c r="E16" s="419">
        <f>SUM(E11:E14)</f>
        <v>0.33310412899999775</v>
      </c>
      <c r="F16" s="419">
        <f>SUM(F11:F14)</f>
        <v>41.37087923</v>
      </c>
      <c r="G16" s="419">
        <f>SUM(G11:G15)</f>
        <v>1.885979546</v>
      </c>
    </row>
    <row r="17" spans="2:7" x14ac:dyDescent="0.3">
      <c r="B17" s="416"/>
      <c r="C17" s="417"/>
      <c r="D17" s="338"/>
      <c r="E17" s="339"/>
      <c r="F17" s="339"/>
      <c r="G17" s="339"/>
    </row>
    <row r="18" spans="2:7" x14ac:dyDescent="0.3">
      <c r="B18" s="416" t="s">
        <v>369</v>
      </c>
      <c r="C18" s="417" t="s">
        <v>689</v>
      </c>
      <c r="D18" s="338"/>
      <c r="E18" s="339"/>
      <c r="F18" s="339"/>
      <c r="G18" s="339"/>
    </row>
    <row r="19" spans="2:7" x14ac:dyDescent="0.3">
      <c r="B19" s="418">
        <v>1</v>
      </c>
      <c r="C19" s="330" t="s">
        <v>690</v>
      </c>
      <c r="D19" s="338">
        <f>'[22]32. Other income'!$F$30/10^7</f>
        <v>1.1941766124076783</v>
      </c>
      <c r="E19" s="339">
        <f>'[23]32. Other income'!$F$30/10^7</f>
        <v>0.5555752060000001</v>
      </c>
      <c r="F19" s="339">
        <f>'[24]32. Other income'!$F$30/10^7</f>
        <v>1.082433754</v>
      </c>
      <c r="G19" s="339">
        <f>'[25]32. Other income'!$F$31/10^2</f>
        <v>1.1722854810000001</v>
      </c>
    </row>
    <row r="20" spans="2:7" x14ac:dyDescent="0.3">
      <c r="B20" s="418">
        <v>2</v>
      </c>
      <c r="C20" s="330" t="s">
        <v>691</v>
      </c>
      <c r="D20" s="338">
        <f>'[22]32. Other income'!$F$33/10^7</f>
        <v>1.823695595</v>
      </c>
      <c r="E20" s="339">
        <f>'[23]32. Other income'!$F$33/10^7</f>
        <v>2.9755051429999999</v>
      </c>
      <c r="F20" s="339">
        <f>'[24]32. Other income'!$F$33/10^7</f>
        <v>0.407526571</v>
      </c>
      <c r="G20" s="339">
        <f>'[25]32. Other income'!$F$34/10^2</f>
        <v>5.5276552370000003</v>
      </c>
    </row>
    <row r="21" spans="2:7" x14ac:dyDescent="0.3">
      <c r="B21" s="418">
        <v>3</v>
      </c>
      <c r="C21" s="330" t="s">
        <v>692</v>
      </c>
      <c r="D21" s="338">
        <f>'[22]32. Other income'!$F$32/10^7</f>
        <v>10.63634373249425</v>
      </c>
      <c r="E21" s="339">
        <f>'[23]32. Other income'!$F$32/10^7</f>
        <v>9.0377244610000016</v>
      </c>
      <c r="F21" s="339">
        <f>'[24]32. Other income'!$F$32/10^7</f>
        <v>28.387097534999931</v>
      </c>
      <c r="G21" s="339">
        <f>'[25]32. Other income'!$F$33/10^2</f>
        <v>7.7833802939999979</v>
      </c>
    </row>
    <row r="22" spans="2:7" x14ac:dyDescent="0.3">
      <c r="B22" s="418">
        <v>4</v>
      </c>
      <c r="C22" s="330" t="s">
        <v>693</v>
      </c>
      <c r="D22" s="338">
        <f>'[22]32. Other income'!$F$31/10^7</f>
        <v>7.9785400000000006E-2</v>
      </c>
      <c r="E22" s="339">
        <f>'[23]32. Other income'!$F$31/10^7</f>
        <v>3.0499399999999999E-2</v>
      </c>
      <c r="F22" s="339">
        <f>'[24]32. Other income'!$F$31/10^7</f>
        <v>0.42809609999999998</v>
      </c>
      <c r="G22" s="339">
        <f>'[25]32. Other income'!$F$32/10^2</f>
        <v>0.32850000000000001</v>
      </c>
    </row>
    <row r="23" spans="2:7" x14ac:dyDescent="0.3">
      <c r="B23" s="418">
        <v>5</v>
      </c>
      <c r="C23" s="330" t="s">
        <v>694</v>
      </c>
      <c r="D23" s="338">
        <f>'[22]32. Other income'!$F$23/10^7+'[22]32. Other income'!$F$24/10^7</f>
        <v>2.097081373</v>
      </c>
      <c r="E23" s="339">
        <f>'[23]32. Other income'!$F$23/10^7</f>
        <v>0.58649299700000002</v>
      </c>
      <c r="F23" s="339">
        <f>'[24]32. Other income'!$F$23/10^7</f>
        <v>-4.9300609999999986E-3</v>
      </c>
      <c r="G23" s="339">
        <v>0</v>
      </c>
    </row>
    <row r="24" spans="2:7" x14ac:dyDescent="0.3">
      <c r="B24" s="416">
        <v>6</v>
      </c>
      <c r="C24" s="417" t="s">
        <v>688</v>
      </c>
      <c r="D24" s="340">
        <f>SUM(D19:D23)</f>
        <v>15.831082712901928</v>
      </c>
      <c r="E24" s="419">
        <f>SUM(E19:E23)</f>
        <v>13.185797207000002</v>
      </c>
      <c r="F24" s="419">
        <f>SUM(F19:F23)</f>
        <v>30.300223898999931</v>
      </c>
      <c r="G24" s="419">
        <f>SUM(G19:G23)</f>
        <v>14.811821011999998</v>
      </c>
    </row>
    <row r="25" spans="2:7" x14ac:dyDescent="0.3">
      <c r="B25" s="420" t="s">
        <v>233</v>
      </c>
      <c r="C25" s="134" t="s">
        <v>98</v>
      </c>
      <c r="D25" s="572">
        <f>SUM(D16,D24)</f>
        <v>23.278801830901926</v>
      </c>
      <c r="E25" s="573">
        <f>SUM(E16,E24)</f>
        <v>13.518901335999999</v>
      </c>
      <c r="F25" s="574">
        <f>SUM(F16,F24,F8,F9)</f>
        <v>74.880878428999935</v>
      </c>
      <c r="G25" s="574">
        <f>SUM(G16,G24,G8)</f>
        <v>16.874183533999997</v>
      </c>
    </row>
    <row r="26" spans="2:7" x14ac:dyDescent="0.3">
      <c r="B26" s="575"/>
      <c r="C26" s="576"/>
      <c r="D26" s="577">
        <f>'[22]32. Other income'!$F$35/10^7</f>
        <v>23.278801830901926</v>
      </c>
      <c r="E26" s="578">
        <f>'[23]32. Other income'!$F$34/10^7</f>
        <v>13.518901335999999</v>
      </c>
      <c r="F26" s="578"/>
      <c r="G26" s="579"/>
    </row>
    <row r="27" spans="2:7" x14ac:dyDescent="0.3">
      <c r="B27" s="405"/>
      <c r="C27" s="421" t="s">
        <v>695</v>
      </c>
      <c r="D27" s="422">
        <f>D25-D26</f>
        <v>0</v>
      </c>
      <c r="E27" s="580"/>
      <c r="F27" s="580"/>
      <c r="G27" s="581"/>
    </row>
  </sheetData>
  <mergeCells count="3">
    <mergeCell ref="B3:G3"/>
    <mergeCell ref="B2:G2"/>
    <mergeCell ref="B4:G4"/>
  </mergeCells>
  <pageMargins left="0.7" right="0.7" top="0.75" bottom="0.75" header="0.3" footer="0.3"/>
  <pageSetup scale="55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B2:G23"/>
  <sheetViews>
    <sheetView showGridLines="0" topLeftCell="B1" zoomScaleNormal="100" zoomScaleSheetLayoutView="90" workbookViewId="0">
      <selection activeCell="G7" sqref="G7:G9"/>
    </sheetView>
  </sheetViews>
  <sheetFormatPr defaultRowHeight="13.8" x14ac:dyDescent="0.3"/>
  <cols>
    <col min="1" max="1" width="4.6640625" style="77" customWidth="1"/>
    <col min="2" max="2" width="7.6640625" style="77" customWidth="1"/>
    <col min="3" max="3" width="35.6640625" style="77" customWidth="1"/>
    <col min="4" max="4" width="9.6640625" style="77" bestFit="1" customWidth="1"/>
    <col min="5" max="5" width="10.33203125" style="77" bestFit="1" customWidth="1"/>
    <col min="6" max="6" width="11.44140625" style="77" bestFit="1" customWidth="1"/>
    <col min="7" max="7" width="10.5546875" style="77" bestFit="1" customWidth="1"/>
    <col min="8" max="250" width="9.33203125" style="77"/>
    <col min="251" max="251" width="4.6640625" style="77" customWidth="1"/>
    <col min="252" max="252" width="7.6640625" style="77" customWidth="1"/>
    <col min="253" max="253" width="35.6640625" style="77" customWidth="1"/>
    <col min="254" max="254" width="9.6640625" style="77" bestFit="1" customWidth="1"/>
    <col min="255" max="255" width="0" style="77" hidden="1" customWidth="1"/>
    <col min="256" max="260" width="9.6640625" style="77" bestFit="1" customWidth="1"/>
    <col min="261" max="506" width="9.33203125" style="77"/>
    <col min="507" max="507" width="4.6640625" style="77" customWidth="1"/>
    <col min="508" max="508" width="7.6640625" style="77" customWidth="1"/>
    <col min="509" max="509" width="35.6640625" style="77" customWidth="1"/>
    <col min="510" max="510" width="9.6640625" style="77" bestFit="1" customWidth="1"/>
    <col min="511" max="511" width="0" style="77" hidden="1" customWidth="1"/>
    <col min="512" max="516" width="9.6640625" style="77" bestFit="1" customWidth="1"/>
    <col min="517" max="762" width="9.33203125" style="77"/>
    <col min="763" max="763" width="4.6640625" style="77" customWidth="1"/>
    <col min="764" max="764" width="7.6640625" style="77" customWidth="1"/>
    <col min="765" max="765" width="35.6640625" style="77" customWidth="1"/>
    <col min="766" max="766" width="9.6640625" style="77" bestFit="1" customWidth="1"/>
    <col min="767" max="767" width="0" style="77" hidden="1" customWidth="1"/>
    <col min="768" max="772" width="9.6640625" style="77" bestFit="1" customWidth="1"/>
    <col min="773" max="1018" width="9.33203125" style="77"/>
    <col min="1019" max="1019" width="4.6640625" style="77" customWidth="1"/>
    <col min="1020" max="1020" width="7.6640625" style="77" customWidth="1"/>
    <col min="1021" max="1021" width="35.6640625" style="77" customWidth="1"/>
    <col min="1022" max="1022" width="9.6640625" style="77" bestFit="1" customWidth="1"/>
    <col min="1023" max="1023" width="0" style="77" hidden="1" customWidth="1"/>
    <col min="1024" max="1028" width="9.6640625" style="77" bestFit="1" customWidth="1"/>
    <col min="1029" max="1274" width="9.33203125" style="77"/>
    <col min="1275" max="1275" width="4.6640625" style="77" customWidth="1"/>
    <col min="1276" max="1276" width="7.6640625" style="77" customWidth="1"/>
    <col min="1277" max="1277" width="35.6640625" style="77" customWidth="1"/>
    <col min="1278" max="1278" width="9.6640625" style="77" bestFit="1" customWidth="1"/>
    <col min="1279" max="1279" width="0" style="77" hidden="1" customWidth="1"/>
    <col min="1280" max="1284" width="9.6640625" style="77" bestFit="1" customWidth="1"/>
    <col min="1285" max="1530" width="9.33203125" style="77"/>
    <col min="1531" max="1531" width="4.6640625" style="77" customWidth="1"/>
    <col min="1532" max="1532" width="7.6640625" style="77" customWidth="1"/>
    <col min="1533" max="1533" width="35.6640625" style="77" customWidth="1"/>
    <col min="1534" max="1534" width="9.6640625" style="77" bestFit="1" customWidth="1"/>
    <col min="1535" max="1535" width="0" style="77" hidden="1" customWidth="1"/>
    <col min="1536" max="1540" width="9.6640625" style="77" bestFit="1" customWidth="1"/>
    <col min="1541" max="1786" width="9.33203125" style="77"/>
    <col min="1787" max="1787" width="4.6640625" style="77" customWidth="1"/>
    <col min="1788" max="1788" width="7.6640625" style="77" customWidth="1"/>
    <col min="1789" max="1789" width="35.6640625" style="77" customWidth="1"/>
    <col min="1790" max="1790" width="9.6640625" style="77" bestFit="1" customWidth="1"/>
    <col min="1791" max="1791" width="0" style="77" hidden="1" customWidth="1"/>
    <col min="1792" max="1796" width="9.6640625" style="77" bestFit="1" customWidth="1"/>
    <col min="1797" max="2042" width="9.33203125" style="77"/>
    <col min="2043" max="2043" width="4.6640625" style="77" customWidth="1"/>
    <col min="2044" max="2044" width="7.6640625" style="77" customWidth="1"/>
    <col min="2045" max="2045" width="35.6640625" style="77" customWidth="1"/>
    <col min="2046" max="2046" width="9.6640625" style="77" bestFit="1" customWidth="1"/>
    <col min="2047" max="2047" width="0" style="77" hidden="1" customWidth="1"/>
    <col min="2048" max="2052" width="9.6640625" style="77" bestFit="1" customWidth="1"/>
    <col min="2053" max="2298" width="9.33203125" style="77"/>
    <col min="2299" max="2299" width="4.6640625" style="77" customWidth="1"/>
    <col min="2300" max="2300" width="7.6640625" style="77" customWidth="1"/>
    <col min="2301" max="2301" width="35.6640625" style="77" customWidth="1"/>
    <col min="2302" max="2302" width="9.6640625" style="77" bestFit="1" customWidth="1"/>
    <col min="2303" max="2303" width="0" style="77" hidden="1" customWidth="1"/>
    <col min="2304" max="2308" width="9.6640625" style="77" bestFit="1" customWidth="1"/>
    <col min="2309" max="2554" width="9.33203125" style="77"/>
    <col min="2555" max="2555" width="4.6640625" style="77" customWidth="1"/>
    <col min="2556" max="2556" width="7.6640625" style="77" customWidth="1"/>
    <col min="2557" max="2557" width="35.6640625" style="77" customWidth="1"/>
    <col min="2558" max="2558" width="9.6640625" style="77" bestFit="1" customWidth="1"/>
    <col min="2559" max="2559" width="0" style="77" hidden="1" customWidth="1"/>
    <col min="2560" max="2564" width="9.6640625" style="77" bestFit="1" customWidth="1"/>
    <col min="2565" max="2810" width="9.33203125" style="77"/>
    <col min="2811" max="2811" width="4.6640625" style="77" customWidth="1"/>
    <col min="2812" max="2812" width="7.6640625" style="77" customWidth="1"/>
    <col min="2813" max="2813" width="35.6640625" style="77" customWidth="1"/>
    <col min="2814" max="2814" width="9.6640625" style="77" bestFit="1" customWidth="1"/>
    <col min="2815" max="2815" width="0" style="77" hidden="1" customWidth="1"/>
    <col min="2816" max="2820" width="9.6640625" style="77" bestFit="1" customWidth="1"/>
    <col min="2821" max="3066" width="9.33203125" style="77"/>
    <col min="3067" max="3067" width="4.6640625" style="77" customWidth="1"/>
    <col min="3068" max="3068" width="7.6640625" style="77" customWidth="1"/>
    <col min="3069" max="3069" width="35.6640625" style="77" customWidth="1"/>
    <col min="3070" max="3070" width="9.6640625" style="77" bestFit="1" customWidth="1"/>
    <col min="3071" max="3071" width="0" style="77" hidden="1" customWidth="1"/>
    <col min="3072" max="3076" width="9.6640625" style="77" bestFit="1" customWidth="1"/>
    <col min="3077" max="3322" width="9.33203125" style="77"/>
    <col min="3323" max="3323" width="4.6640625" style="77" customWidth="1"/>
    <col min="3324" max="3324" width="7.6640625" style="77" customWidth="1"/>
    <col min="3325" max="3325" width="35.6640625" style="77" customWidth="1"/>
    <col min="3326" max="3326" width="9.6640625" style="77" bestFit="1" customWidth="1"/>
    <col min="3327" max="3327" width="0" style="77" hidden="1" customWidth="1"/>
    <col min="3328" max="3332" width="9.6640625" style="77" bestFit="1" customWidth="1"/>
    <col min="3333" max="3578" width="9.33203125" style="77"/>
    <col min="3579" max="3579" width="4.6640625" style="77" customWidth="1"/>
    <col min="3580" max="3580" width="7.6640625" style="77" customWidth="1"/>
    <col min="3581" max="3581" width="35.6640625" style="77" customWidth="1"/>
    <col min="3582" max="3582" width="9.6640625" style="77" bestFit="1" customWidth="1"/>
    <col min="3583" max="3583" width="0" style="77" hidden="1" customWidth="1"/>
    <col min="3584" max="3588" width="9.6640625" style="77" bestFit="1" customWidth="1"/>
    <col min="3589" max="3834" width="9.33203125" style="77"/>
    <col min="3835" max="3835" width="4.6640625" style="77" customWidth="1"/>
    <col min="3836" max="3836" width="7.6640625" style="77" customWidth="1"/>
    <col min="3837" max="3837" width="35.6640625" style="77" customWidth="1"/>
    <col min="3838" max="3838" width="9.6640625" style="77" bestFit="1" customWidth="1"/>
    <col min="3839" max="3839" width="0" style="77" hidden="1" customWidth="1"/>
    <col min="3840" max="3844" width="9.6640625" style="77" bestFit="1" customWidth="1"/>
    <col min="3845" max="4090" width="9.33203125" style="77"/>
    <col min="4091" max="4091" width="4.6640625" style="77" customWidth="1"/>
    <col min="4092" max="4092" width="7.6640625" style="77" customWidth="1"/>
    <col min="4093" max="4093" width="35.6640625" style="77" customWidth="1"/>
    <col min="4094" max="4094" width="9.6640625" style="77" bestFit="1" customWidth="1"/>
    <col min="4095" max="4095" width="0" style="77" hidden="1" customWidth="1"/>
    <col min="4096" max="4100" width="9.6640625" style="77" bestFit="1" customWidth="1"/>
    <col min="4101" max="4346" width="9.33203125" style="77"/>
    <col min="4347" max="4347" width="4.6640625" style="77" customWidth="1"/>
    <col min="4348" max="4348" width="7.6640625" style="77" customWidth="1"/>
    <col min="4349" max="4349" width="35.6640625" style="77" customWidth="1"/>
    <col min="4350" max="4350" width="9.6640625" style="77" bestFit="1" customWidth="1"/>
    <col min="4351" max="4351" width="0" style="77" hidden="1" customWidth="1"/>
    <col min="4352" max="4356" width="9.6640625" style="77" bestFit="1" customWidth="1"/>
    <col min="4357" max="4602" width="9.33203125" style="77"/>
    <col min="4603" max="4603" width="4.6640625" style="77" customWidth="1"/>
    <col min="4604" max="4604" width="7.6640625" style="77" customWidth="1"/>
    <col min="4605" max="4605" width="35.6640625" style="77" customWidth="1"/>
    <col min="4606" max="4606" width="9.6640625" style="77" bestFit="1" customWidth="1"/>
    <col min="4607" max="4607" width="0" style="77" hidden="1" customWidth="1"/>
    <col min="4608" max="4612" width="9.6640625" style="77" bestFit="1" customWidth="1"/>
    <col min="4613" max="4858" width="9.33203125" style="77"/>
    <col min="4859" max="4859" width="4.6640625" style="77" customWidth="1"/>
    <col min="4860" max="4860" width="7.6640625" style="77" customWidth="1"/>
    <col min="4861" max="4861" width="35.6640625" style="77" customWidth="1"/>
    <col min="4862" max="4862" width="9.6640625" style="77" bestFit="1" customWidth="1"/>
    <col min="4863" max="4863" width="0" style="77" hidden="1" customWidth="1"/>
    <col min="4864" max="4868" width="9.6640625" style="77" bestFit="1" customWidth="1"/>
    <col min="4869" max="5114" width="9.33203125" style="77"/>
    <col min="5115" max="5115" width="4.6640625" style="77" customWidth="1"/>
    <col min="5116" max="5116" width="7.6640625" style="77" customWidth="1"/>
    <col min="5117" max="5117" width="35.6640625" style="77" customWidth="1"/>
    <col min="5118" max="5118" width="9.6640625" style="77" bestFit="1" customWidth="1"/>
    <col min="5119" max="5119" width="0" style="77" hidden="1" customWidth="1"/>
    <col min="5120" max="5124" width="9.6640625" style="77" bestFit="1" customWidth="1"/>
    <col min="5125" max="5370" width="9.33203125" style="77"/>
    <col min="5371" max="5371" width="4.6640625" style="77" customWidth="1"/>
    <col min="5372" max="5372" width="7.6640625" style="77" customWidth="1"/>
    <col min="5373" max="5373" width="35.6640625" style="77" customWidth="1"/>
    <col min="5374" max="5374" width="9.6640625" style="77" bestFit="1" customWidth="1"/>
    <col min="5375" max="5375" width="0" style="77" hidden="1" customWidth="1"/>
    <col min="5376" max="5380" width="9.6640625" style="77" bestFit="1" customWidth="1"/>
    <col min="5381" max="5626" width="9.33203125" style="77"/>
    <col min="5627" max="5627" width="4.6640625" style="77" customWidth="1"/>
    <col min="5628" max="5628" width="7.6640625" style="77" customWidth="1"/>
    <col min="5629" max="5629" width="35.6640625" style="77" customWidth="1"/>
    <col min="5630" max="5630" width="9.6640625" style="77" bestFit="1" customWidth="1"/>
    <col min="5631" max="5631" width="0" style="77" hidden="1" customWidth="1"/>
    <col min="5632" max="5636" width="9.6640625" style="77" bestFit="1" customWidth="1"/>
    <col min="5637" max="5882" width="9.33203125" style="77"/>
    <col min="5883" max="5883" width="4.6640625" style="77" customWidth="1"/>
    <col min="5884" max="5884" width="7.6640625" style="77" customWidth="1"/>
    <col min="5885" max="5885" width="35.6640625" style="77" customWidth="1"/>
    <col min="5886" max="5886" width="9.6640625" style="77" bestFit="1" customWidth="1"/>
    <col min="5887" max="5887" width="0" style="77" hidden="1" customWidth="1"/>
    <col min="5888" max="5892" width="9.6640625" style="77" bestFit="1" customWidth="1"/>
    <col min="5893" max="6138" width="9.33203125" style="77"/>
    <col min="6139" max="6139" width="4.6640625" style="77" customWidth="1"/>
    <col min="6140" max="6140" width="7.6640625" style="77" customWidth="1"/>
    <col min="6141" max="6141" width="35.6640625" style="77" customWidth="1"/>
    <col min="6142" max="6142" width="9.6640625" style="77" bestFit="1" customWidth="1"/>
    <col min="6143" max="6143" width="0" style="77" hidden="1" customWidth="1"/>
    <col min="6144" max="6148" width="9.6640625" style="77" bestFit="1" customWidth="1"/>
    <col min="6149" max="6394" width="9.33203125" style="77"/>
    <col min="6395" max="6395" width="4.6640625" style="77" customWidth="1"/>
    <col min="6396" max="6396" width="7.6640625" style="77" customWidth="1"/>
    <col min="6397" max="6397" width="35.6640625" style="77" customWidth="1"/>
    <col min="6398" max="6398" width="9.6640625" style="77" bestFit="1" customWidth="1"/>
    <col min="6399" max="6399" width="0" style="77" hidden="1" customWidth="1"/>
    <col min="6400" max="6404" width="9.6640625" style="77" bestFit="1" customWidth="1"/>
    <col min="6405" max="6650" width="9.33203125" style="77"/>
    <col min="6651" max="6651" width="4.6640625" style="77" customWidth="1"/>
    <col min="6652" max="6652" width="7.6640625" style="77" customWidth="1"/>
    <col min="6653" max="6653" width="35.6640625" style="77" customWidth="1"/>
    <col min="6654" max="6654" width="9.6640625" style="77" bestFit="1" customWidth="1"/>
    <col min="6655" max="6655" width="0" style="77" hidden="1" customWidth="1"/>
    <col min="6656" max="6660" width="9.6640625" style="77" bestFit="1" customWidth="1"/>
    <col min="6661" max="6906" width="9.33203125" style="77"/>
    <col min="6907" max="6907" width="4.6640625" style="77" customWidth="1"/>
    <col min="6908" max="6908" width="7.6640625" style="77" customWidth="1"/>
    <col min="6909" max="6909" width="35.6640625" style="77" customWidth="1"/>
    <col min="6910" max="6910" width="9.6640625" style="77" bestFit="1" customWidth="1"/>
    <col min="6911" max="6911" width="0" style="77" hidden="1" customWidth="1"/>
    <col min="6912" max="6916" width="9.6640625" style="77" bestFit="1" customWidth="1"/>
    <col min="6917" max="7162" width="9.33203125" style="77"/>
    <col min="7163" max="7163" width="4.6640625" style="77" customWidth="1"/>
    <col min="7164" max="7164" width="7.6640625" style="77" customWidth="1"/>
    <col min="7165" max="7165" width="35.6640625" style="77" customWidth="1"/>
    <col min="7166" max="7166" width="9.6640625" style="77" bestFit="1" customWidth="1"/>
    <col min="7167" max="7167" width="0" style="77" hidden="1" customWidth="1"/>
    <col min="7168" max="7172" width="9.6640625" style="77" bestFit="1" customWidth="1"/>
    <col min="7173" max="7418" width="9.33203125" style="77"/>
    <col min="7419" max="7419" width="4.6640625" style="77" customWidth="1"/>
    <col min="7420" max="7420" width="7.6640625" style="77" customWidth="1"/>
    <col min="7421" max="7421" width="35.6640625" style="77" customWidth="1"/>
    <col min="7422" max="7422" width="9.6640625" style="77" bestFit="1" customWidth="1"/>
    <col min="7423" max="7423" width="0" style="77" hidden="1" customWidth="1"/>
    <col min="7424" max="7428" width="9.6640625" style="77" bestFit="1" customWidth="1"/>
    <col min="7429" max="7674" width="9.33203125" style="77"/>
    <col min="7675" max="7675" width="4.6640625" style="77" customWidth="1"/>
    <col min="7676" max="7676" width="7.6640625" style="77" customWidth="1"/>
    <col min="7677" max="7677" width="35.6640625" style="77" customWidth="1"/>
    <col min="7678" max="7678" width="9.6640625" style="77" bestFit="1" customWidth="1"/>
    <col min="7679" max="7679" width="0" style="77" hidden="1" customWidth="1"/>
    <col min="7680" max="7684" width="9.6640625" style="77" bestFit="1" customWidth="1"/>
    <col min="7685" max="7930" width="9.33203125" style="77"/>
    <col min="7931" max="7931" width="4.6640625" style="77" customWidth="1"/>
    <col min="7932" max="7932" width="7.6640625" style="77" customWidth="1"/>
    <col min="7933" max="7933" width="35.6640625" style="77" customWidth="1"/>
    <col min="7934" max="7934" width="9.6640625" style="77" bestFit="1" customWidth="1"/>
    <col min="7935" max="7935" width="0" style="77" hidden="1" customWidth="1"/>
    <col min="7936" max="7940" width="9.6640625" style="77" bestFit="1" customWidth="1"/>
    <col min="7941" max="8186" width="9.33203125" style="77"/>
    <col min="8187" max="8187" width="4.6640625" style="77" customWidth="1"/>
    <col min="8188" max="8188" width="7.6640625" style="77" customWidth="1"/>
    <col min="8189" max="8189" width="35.6640625" style="77" customWidth="1"/>
    <col min="8190" max="8190" width="9.6640625" style="77" bestFit="1" customWidth="1"/>
    <col min="8191" max="8191" width="0" style="77" hidden="1" customWidth="1"/>
    <col min="8192" max="8196" width="9.6640625" style="77" bestFit="1" customWidth="1"/>
    <col min="8197" max="8442" width="9.33203125" style="77"/>
    <col min="8443" max="8443" width="4.6640625" style="77" customWidth="1"/>
    <col min="8444" max="8444" width="7.6640625" style="77" customWidth="1"/>
    <col min="8445" max="8445" width="35.6640625" style="77" customWidth="1"/>
    <col min="8446" max="8446" width="9.6640625" style="77" bestFit="1" customWidth="1"/>
    <col min="8447" max="8447" width="0" style="77" hidden="1" customWidth="1"/>
    <col min="8448" max="8452" width="9.6640625" style="77" bestFit="1" customWidth="1"/>
    <col min="8453" max="8698" width="9.33203125" style="77"/>
    <col min="8699" max="8699" width="4.6640625" style="77" customWidth="1"/>
    <col min="8700" max="8700" width="7.6640625" style="77" customWidth="1"/>
    <col min="8701" max="8701" width="35.6640625" style="77" customWidth="1"/>
    <col min="8702" max="8702" width="9.6640625" style="77" bestFit="1" customWidth="1"/>
    <col min="8703" max="8703" width="0" style="77" hidden="1" customWidth="1"/>
    <col min="8704" max="8708" width="9.6640625" style="77" bestFit="1" customWidth="1"/>
    <col min="8709" max="8954" width="9.33203125" style="77"/>
    <col min="8955" max="8955" width="4.6640625" style="77" customWidth="1"/>
    <col min="8956" max="8956" width="7.6640625" style="77" customWidth="1"/>
    <col min="8957" max="8957" width="35.6640625" style="77" customWidth="1"/>
    <col min="8958" max="8958" width="9.6640625" style="77" bestFit="1" customWidth="1"/>
    <col min="8959" max="8959" width="0" style="77" hidden="1" customWidth="1"/>
    <col min="8960" max="8964" width="9.6640625" style="77" bestFit="1" customWidth="1"/>
    <col min="8965" max="9210" width="9.33203125" style="77"/>
    <col min="9211" max="9211" width="4.6640625" style="77" customWidth="1"/>
    <col min="9212" max="9212" width="7.6640625" style="77" customWidth="1"/>
    <col min="9213" max="9213" width="35.6640625" style="77" customWidth="1"/>
    <col min="9214" max="9214" width="9.6640625" style="77" bestFit="1" customWidth="1"/>
    <col min="9215" max="9215" width="0" style="77" hidden="1" customWidth="1"/>
    <col min="9216" max="9220" width="9.6640625" style="77" bestFit="1" customWidth="1"/>
    <col min="9221" max="9466" width="9.33203125" style="77"/>
    <col min="9467" max="9467" width="4.6640625" style="77" customWidth="1"/>
    <col min="9468" max="9468" width="7.6640625" style="77" customWidth="1"/>
    <col min="9469" max="9469" width="35.6640625" style="77" customWidth="1"/>
    <col min="9470" max="9470" width="9.6640625" style="77" bestFit="1" customWidth="1"/>
    <col min="9471" max="9471" width="0" style="77" hidden="1" customWidth="1"/>
    <col min="9472" max="9476" width="9.6640625" style="77" bestFit="1" customWidth="1"/>
    <col min="9477" max="9722" width="9.33203125" style="77"/>
    <col min="9723" max="9723" width="4.6640625" style="77" customWidth="1"/>
    <col min="9724" max="9724" width="7.6640625" style="77" customWidth="1"/>
    <col min="9725" max="9725" width="35.6640625" style="77" customWidth="1"/>
    <col min="9726" max="9726" width="9.6640625" style="77" bestFit="1" customWidth="1"/>
    <col min="9727" max="9727" width="0" style="77" hidden="1" customWidth="1"/>
    <col min="9728" max="9732" width="9.6640625" style="77" bestFit="1" customWidth="1"/>
    <col min="9733" max="9978" width="9.33203125" style="77"/>
    <col min="9979" max="9979" width="4.6640625" style="77" customWidth="1"/>
    <col min="9980" max="9980" width="7.6640625" style="77" customWidth="1"/>
    <col min="9981" max="9981" width="35.6640625" style="77" customWidth="1"/>
    <col min="9982" max="9982" width="9.6640625" style="77" bestFit="1" customWidth="1"/>
    <col min="9983" max="9983" width="0" style="77" hidden="1" customWidth="1"/>
    <col min="9984" max="9988" width="9.6640625" style="77" bestFit="1" customWidth="1"/>
    <col min="9989" max="10234" width="9.33203125" style="77"/>
    <col min="10235" max="10235" width="4.6640625" style="77" customWidth="1"/>
    <col min="10236" max="10236" width="7.6640625" style="77" customWidth="1"/>
    <col min="10237" max="10237" width="35.6640625" style="77" customWidth="1"/>
    <col min="10238" max="10238" width="9.6640625" style="77" bestFit="1" customWidth="1"/>
    <col min="10239" max="10239" width="0" style="77" hidden="1" customWidth="1"/>
    <col min="10240" max="10244" width="9.6640625" style="77" bestFit="1" customWidth="1"/>
    <col min="10245" max="10490" width="9.33203125" style="77"/>
    <col min="10491" max="10491" width="4.6640625" style="77" customWidth="1"/>
    <col min="10492" max="10492" width="7.6640625" style="77" customWidth="1"/>
    <col min="10493" max="10493" width="35.6640625" style="77" customWidth="1"/>
    <col min="10494" max="10494" width="9.6640625" style="77" bestFit="1" customWidth="1"/>
    <col min="10495" max="10495" width="0" style="77" hidden="1" customWidth="1"/>
    <col min="10496" max="10500" width="9.6640625" style="77" bestFit="1" customWidth="1"/>
    <col min="10501" max="10746" width="9.33203125" style="77"/>
    <col min="10747" max="10747" width="4.6640625" style="77" customWidth="1"/>
    <col min="10748" max="10748" width="7.6640625" style="77" customWidth="1"/>
    <col min="10749" max="10749" width="35.6640625" style="77" customWidth="1"/>
    <col min="10750" max="10750" width="9.6640625" style="77" bestFit="1" customWidth="1"/>
    <col min="10751" max="10751" width="0" style="77" hidden="1" customWidth="1"/>
    <col min="10752" max="10756" width="9.6640625" style="77" bestFit="1" customWidth="1"/>
    <col min="10757" max="11002" width="9.33203125" style="77"/>
    <col min="11003" max="11003" width="4.6640625" style="77" customWidth="1"/>
    <col min="11004" max="11004" width="7.6640625" style="77" customWidth="1"/>
    <col min="11005" max="11005" width="35.6640625" style="77" customWidth="1"/>
    <col min="11006" max="11006" width="9.6640625" style="77" bestFit="1" customWidth="1"/>
    <col min="11007" max="11007" width="0" style="77" hidden="1" customWidth="1"/>
    <col min="11008" max="11012" width="9.6640625" style="77" bestFit="1" customWidth="1"/>
    <col min="11013" max="11258" width="9.33203125" style="77"/>
    <col min="11259" max="11259" width="4.6640625" style="77" customWidth="1"/>
    <col min="11260" max="11260" width="7.6640625" style="77" customWidth="1"/>
    <col min="11261" max="11261" width="35.6640625" style="77" customWidth="1"/>
    <col min="11262" max="11262" width="9.6640625" style="77" bestFit="1" customWidth="1"/>
    <col min="11263" max="11263" width="0" style="77" hidden="1" customWidth="1"/>
    <col min="11264" max="11268" width="9.6640625" style="77" bestFit="1" customWidth="1"/>
    <col min="11269" max="11514" width="9.33203125" style="77"/>
    <col min="11515" max="11515" width="4.6640625" style="77" customWidth="1"/>
    <col min="11516" max="11516" width="7.6640625" style="77" customWidth="1"/>
    <col min="11517" max="11517" width="35.6640625" style="77" customWidth="1"/>
    <col min="11518" max="11518" width="9.6640625" style="77" bestFit="1" customWidth="1"/>
    <col min="11519" max="11519" width="0" style="77" hidden="1" customWidth="1"/>
    <col min="11520" max="11524" width="9.6640625" style="77" bestFit="1" customWidth="1"/>
    <col min="11525" max="11770" width="9.33203125" style="77"/>
    <col min="11771" max="11771" width="4.6640625" style="77" customWidth="1"/>
    <col min="11772" max="11772" width="7.6640625" style="77" customWidth="1"/>
    <col min="11773" max="11773" width="35.6640625" style="77" customWidth="1"/>
    <col min="11774" max="11774" width="9.6640625" style="77" bestFit="1" customWidth="1"/>
    <col min="11775" max="11775" width="0" style="77" hidden="1" customWidth="1"/>
    <col min="11776" max="11780" width="9.6640625" style="77" bestFit="1" customWidth="1"/>
    <col min="11781" max="12026" width="9.33203125" style="77"/>
    <col min="12027" max="12027" width="4.6640625" style="77" customWidth="1"/>
    <col min="12028" max="12028" width="7.6640625" style="77" customWidth="1"/>
    <col min="12029" max="12029" width="35.6640625" style="77" customWidth="1"/>
    <col min="12030" max="12030" width="9.6640625" style="77" bestFit="1" customWidth="1"/>
    <col min="12031" max="12031" width="0" style="77" hidden="1" customWidth="1"/>
    <col min="12032" max="12036" width="9.6640625" style="77" bestFit="1" customWidth="1"/>
    <col min="12037" max="12282" width="9.33203125" style="77"/>
    <col min="12283" max="12283" width="4.6640625" style="77" customWidth="1"/>
    <col min="12284" max="12284" width="7.6640625" style="77" customWidth="1"/>
    <col min="12285" max="12285" width="35.6640625" style="77" customWidth="1"/>
    <col min="12286" max="12286" width="9.6640625" style="77" bestFit="1" customWidth="1"/>
    <col min="12287" max="12287" width="0" style="77" hidden="1" customWidth="1"/>
    <col min="12288" max="12292" width="9.6640625" style="77" bestFit="1" customWidth="1"/>
    <col min="12293" max="12538" width="9.33203125" style="77"/>
    <col min="12539" max="12539" width="4.6640625" style="77" customWidth="1"/>
    <col min="12540" max="12540" width="7.6640625" style="77" customWidth="1"/>
    <col min="12541" max="12541" width="35.6640625" style="77" customWidth="1"/>
    <col min="12542" max="12542" width="9.6640625" style="77" bestFit="1" customWidth="1"/>
    <col min="12543" max="12543" width="0" style="77" hidden="1" customWidth="1"/>
    <col min="12544" max="12548" width="9.6640625" style="77" bestFit="1" customWidth="1"/>
    <col min="12549" max="12794" width="9.33203125" style="77"/>
    <col min="12795" max="12795" width="4.6640625" style="77" customWidth="1"/>
    <col min="12796" max="12796" width="7.6640625" style="77" customWidth="1"/>
    <col min="12797" max="12797" width="35.6640625" style="77" customWidth="1"/>
    <col min="12798" max="12798" width="9.6640625" style="77" bestFit="1" customWidth="1"/>
    <col min="12799" max="12799" width="0" style="77" hidden="1" customWidth="1"/>
    <col min="12800" max="12804" width="9.6640625" style="77" bestFit="1" customWidth="1"/>
    <col min="12805" max="13050" width="9.33203125" style="77"/>
    <col min="13051" max="13051" width="4.6640625" style="77" customWidth="1"/>
    <col min="13052" max="13052" width="7.6640625" style="77" customWidth="1"/>
    <col min="13053" max="13053" width="35.6640625" style="77" customWidth="1"/>
    <col min="13054" max="13054" width="9.6640625" style="77" bestFit="1" customWidth="1"/>
    <col min="13055" max="13055" width="0" style="77" hidden="1" customWidth="1"/>
    <col min="13056" max="13060" width="9.6640625" style="77" bestFit="1" customWidth="1"/>
    <col min="13061" max="13306" width="9.33203125" style="77"/>
    <col min="13307" max="13307" width="4.6640625" style="77" customWidth="1"/>
    <col min="13308" max="13308" width="7.6640625" style="77" customWidth="1"/>
    <col min="13309" max="13309" width="35.6640625" style="77" customWidth="1"/>
    <col min="13310" max="13310" width="9.6640625" style="77" bestFit="1" customWidth="1"/>
    <col min="13311" max="13311" width="0" style="77" hidden="1" customWidth="1"/>
    <col min="13312" max="13316" width="9.6640625" style="77" bestFit="1" customWidth="1"/>
    <col min="13317" max="13562" width="9.33203125" style="77"/>
    <col min="13563" max="13563" width="4.6640625" style="77" customWidth="1"/>
    <col min="13564" max="13564" width="7.6640625" style="77" customWidth="1"/>
    <col min="13565" max="13565" width="35.6640625" style="77" customWidth="1"/>
    <col min="13566" max="13566" width="9.6640625" style="77" bestFit="1" customWidth="1"/>
    <col min="13567" max="13567" width="0" style="77" hidden="1" customWidth="1"/>
    <col min="13568" max="13572" width="9.6640625" style="77" bestFit="1" customWidth="1"/>
    <col min="13573" max="13818" width="9.33203125" style="77"/>
    <col min="13819" max="13819" width="4.6640625" style="77" customWidth="1"/>
    <col min="13820" max="13820" width="7.6640625" style="77" customWidth="1"/>
    <col min="13821" max="13821" width="35.6640625" style="77" customWidth="1"/>
    <col min="13822" max="13822" width="9.6640625" style="77" bestFit="1" customWidth="1"/>
    <col min="13823" max="13823" width="0" style="77" hidden="1" customWidth="1"/>
    <col min="13824" max="13828" width="9.6640625" style="77" bestFit="1" customWidth="1"/>
    <col min="13829" max="14074" width="9.33203125" style="77"/>
    <col min="14075" max="14075" width="4.6640625" style="77" customWidth="1"/>
    <col min="14076" max="14076" width="7.6640625" style="77" customWidth="1"/>
    <col min="14077" max="14077" width="35.6640625" style="77" customWidth="1"/>
    <col min="14078" max="14078" width="9.6640625" style="77" bestFit="1" customWidth="1"/>
    <col min="14079" max="14079" width="0" style="77" hidden="1" customWidth="1"/>
    <col min="14080" max="14084" width="9.6640625" style="77" bestFit="1" customWidth="1"/>
    <col min="14085" max="14330" width="9.33203125" style="77"/>
    <col min="14331" max="14331" width="4.6640625" style="77" customWidth="1"/>
    <col min="14332" max="14332" width="7.6640625" style="77" customWidth="1"/>
    <col min="14333" max="14333" width="35.6640625" style="77" customWidth="1"/>
    <col min="14334" max="14334" width="9.6640625" style="77" bestFit="1" customWidth="1"/>
    <col min="14335" max="14335" width="0" style="77" hidden="1" customWidth="1"/>
    <col min="14336" max="14340" width="9.6640625" style="77" bestFit="1" customWidth="1"/>
    <col min="14341" max="14586" width="9.33203125" style="77"/>
    <col min="14587" max="14587" width="4.6640625" style="77" customWidth="1"/>
    <col min="14588" max="14588" width="7.6640625" style="77" customWidth="1"/>
    <col min="14589" max="14589" width="35.6640625" style="77" customWidth="1"/>
    <col min="14590" max="14590" width="9.6640625" style="77" bestFit="1" customWidth="1"/>
    <col min="14591" max="14591" width="0" style="77" hidden="1" customWidth="1"/>
    <col min="14592" max="14596" width="9.6640625" style="77" bestFit="1" customWidth="1"/>
    <col min="14597" max="14842" width="9.33203125" style="77"/>
    <col min="14843" max="14843" width="4.6640625" style="77" customWidth="1"/>
    <col min="14844" max="14844" width="7.6640625" style="77" customWidth="1"/>
    <col min="14845" max="14845" width="35.6640625" style="77" customWidth="1"/>
    <col min="14846" max="14846" width="9.6640625" style="77" bestFit="1" customWidth="1"/>
    <col min="14847" max="14847" width="0" style="77" hidden="1" customWidth="1"/>
    <col min="14848" max="14852" width="9.6640625" style="77" bestFit="1" customWidth="1"/>
    <col min="14853" max="15098" width="9.33203125" style="77"/>
    <col min="15099" max="15099" width="4.6640625" style="77" customWidth="1"/>
    <col min="15100" max="15100" width="7.6640625" style="77" customWidth="1"/>
    <col min="15101" max="15101" width="35.6640625" style="77" customWidth="1"/>
    <col min="15102" max="15102" width="9.6640625" style="77" bestFit="1" customWidth="1"/>
    <col min="15103" max="15103" width="0" style="77" hidden="1" customWidth="1"/>
    <col min="15104" max="15108" width="9.6640625" style="77" bestFit="1" customWidth="1"/>
    <col min="15109" max="15354" width="9.33203125" style="77"/>
    <col min="15355" max="15355" width="4.6640625" style="77" customWidth="1"/>
    <col min="15356" max="15356" width="7.6640625" style="77" customWidth="1"/>
    <col min="15357" max="15357" width="35.6640625" style="77" customWidth="1"/>
    <col min="15358" max="15358" width="9.6640625" style="77" bestFit="1" customWidth="1"/>
    <col min="15359" max="15359" width="0" style="77" hidden="1" customWidth="1"/>
    <col min="15360" max="15364" width="9.6640625" style="77" bestFit="1" customWidth="1"/>
    <col min="15365" max="15610" width="9.33203125" style="77"/>
    <col min="15611" max="15611" width="4.6640625" style="77" customWidth="1"/>
    <col min="15612" max="15612" width="7.6640625" style="77" customWidth="1"/>
    <col min="15613" max="15613" width="35.6640625" style="77" customWidth="1"/>
    <col min="15614" max="15614" width="9.6640625" style="77" bestFit="1" customWidth="1"/>
    <col min="15615" max="15615" width="0" style="77" hidden="1" customWidth="1"/>
    <col min="15616" max="15620" width="9.6640625" style="77" bestFit="1" customWidth="1"/>
    <col min="15621" max="15866" width="9.33203125" style="77"/>
    <col min="15867" max="15867" width="4.6640625" style="77" customWidth="1"/>
    <col min="15868" max="15868" width="7.6640625" style="77" customWidth="1"/>
    <col min="15869" max="15869" width="35.6640625" style="77" customWidth="1"/>
    <col min="15870" max="15870" width="9.6640625" style="77" bestFit="1" customWidth="1"/>
    <col min="15871" max="15871" width="0" style="77" hidden="1" customWidth="1"/>
    <col min="15872" max="15876" width="9.6640625" style="77" bestFit="1" customWidth="1"/>
    <col min="15877" max="16122" width="9.33203125" style="77"/>
    <col min="16123" max="16123" width="4.6640625" style="77" customWidth="1"/>
    <col min="16124" max="16124" width="7.6640625" style="77" customWidth="1"/>
    <col min="16125" max="16125" width="35.6640625" style="77" customWidth="1"/>
    <col min="16126" max="16126" width="9.6640625" style="77" bestFit="1" customWidth="1"/>
    <col min="16127" max="16127" width="0" style="77" hidden="1" customWidth="1"/>
    <col min="16128" max="16132" width="9.6640625" style="77" bestFit="1" customWidth="1"/>
    <col min="16133" max="16384" width="9.33203125" style="77"/>
  </cols>
  <sheetData>
    <row r="2" spans="2:7" ht="12.75" customHeight="1" x14ac:dyDescent="0.3">
      <c r="B2" s="630" t="s">
        <v>696</v>
      </c>
      <c r="C2" s="631"/>
      <c r="D2" s="631"/>
      <c r="E2" s="631"/>
      <c r="F2" s="631"/>
      <c r="G2" s="631"/>
    </row>
    <row r="3" spans="2:7" ht="12.75" customHeight="1" x14ac:dyDescent="0.3">
      <c r="B3" s="630" t="s">
        <v>697</v>
      </c>
      <c r="C3" s="631"/>
      <c r="D3" s="631"/>
      <c r="E3" s="631"/>
      <c r="F3" s="631"/>
      <c r="G3" s="631"/>
    </row>
    <row r="4" spans="2:7" ht="12.75" customHeight="1" x14ac:dyDescent="0.3">
      <c r="B4" s="633" t="str">
        <f>'F6 (2)'!B4:D4</f>
        <v>CHHATTISGARH STATE POWER TRANSMISSION COMPANY LIMITED</v>
      </c>
      <c r="C4" s="634"/>
      <c r="D4" s="634"/>
      <c r="E4" s="634"/>
      <c r="F4" s="634"/>
      <c r="G4" s="634"/>
    </row>
    <row r="5" spans="2:7" ht="41.4" x14ac:dyDescent="0.3">
      <c r="B5" s="387" t="s">
        <v>1</v>
      </c>
      <c r="C5" s="388" t="s">
        <v>2</v>
      </c>
      <c r="D5" s="389" t="s">
        <v>698</v>
      </c>
      <c r="E5" s="389" t="s">
        <v>699</v>
      </c>
      <c r="F5" s="389" t="s">
        <v>700</v>
      </c>
      <c r="G5" s="389" t="s">
        <v>701</v>
      </c>
    </row>
    <row r="6" spans="2:7" ht="12" customHeight="1" x14ac:dyDescent="0.3">
      <c r="B6" s="400"/>
      <c r="C6" s="400"/>
      <c r="D6" s="331"/>
      <c r="E6" s="331"/>
      <c r="F6" s="334"/>
      <c r="G6" s="334"/>
    </row>
    <row r="7" spans="2:7" x14ac:dyDescent="0.3">
      <c r="B7" s="369">
        <v>1</v>
      </c>
      <c r="C7" s="390" t="s">
        <v>38</v>
      </c>
      <c r="D7" s="346">
        <f>'F3'!E80</f>
        <v>13.363658649999998</v>
      </c>
      <c r="E7" s="339">
        <f>'F3'!G80</f>
        <v>13.555266575999996</v>
      </c>
      <c r="F7" s="333">
        <f>(-1)*'F3'!I36</f>
        <v>9.8817301149999999</v>
      </c>
      <c r="G7" s="333">
        <f>'F3'!K80*(-1)</f>
        <v>10.995938000000001</v>
      </c>
    </row>
    <row r="8" spans="2:7" x14ac:dyDescent="0.3">
      <c r="B8" s="369">
        <v>2</v>
      </c>
      <c r="C8" s="390" t="s">
        <v>123</v>
      </c>
      <c r="D8" s="346">
        <f>'F3'!E81</f>
        <v>3.1895614409999999</v>
      </c>
      <c r="E8" s="339">
        <f>'F3'!G81</f>
        <v>1.2899131500000001</v>
      </c>
      <c r="F8" s="333">
        <f>'F3'!I60*(-1)</f>
        <v>0.92789909999999998</v>
      </c>
      <c r="G8" s="333">
        <f>'F3'!K81*(-1)</f>
        <v>0.98240410099999986</v>
      </c>
    </row>
    <row r="9" spans="2:7" x14ac:dyDescent="0.3">
      <c r="B9" s="401">
        <v>3</v>
      </c>
      <c r="C9" s="402" t="s">
        <v>98</v>
      </c>
      <c r="D9" s="350">
        <f>D7+D8</f>
        <v>16.553220090999996</v>
      </c>
      <c r="E9" s="350">
        <f>E7+E8</f>
        <v>14.845179725999996</v>
      </c>
      <c r="F9" s="350">
        <f>F7+F8</f>
        <v>10.809629214999999</v>
      </c>
      <c r="G9" s="471">
        <f>G7+G8</f>
        <v>11.978342101000001</v>
      </c>
    </row>
    <row r="10" spans="2:7" x14ac:dyDescent="0.3">
      <c r="C10" s="131"/>
    </row>
    <row r="11" spans="2:7" x14ac:dyDescent="0.3">
      <c r="C11" s="132"/>
    </row>
    <row r="14" spans="2:7" x14ac:dyDescent="0.3">
      <c r="B14" s="117"/>
    </row>
    <row r="15" spans="2:7" ht="12.75" customHeight="1" x14ac:dyDescent="0.3">
      <c r="B15" s="121"/>
      <c r="C15" s="121"/>
    </row>
    <row r="16" spans="2:7" ht="12.75" customHeight="1" x14ac:dyDescent="0.3">
      <c r="B16" s="121"/>
      <c r="C16" s="121"/>
    </row>
    <row r="17" spans="2:3" ht="25.5" customHeight="1" x14ac:dyDescent="0.3">
      <c r="B17" s="121"/>
      <c r="C17" s="121"/>
    </row>
    <row r="18" spans="2:3" x14ac:dyDescent="0.3">
      <c r="B18" s="121"/>
      <c r="C18" s="121"/>
    </row>
    <row r="19" spans="2:3" ht="38.25" customHeight="1" x14ac:dyDescent="0.3">
      <c r="B19" s="121"/>
      <c r="C19" s="121"/>
    </row>
    <row r="20" spans="2:3" ht="38.25" customHeight="1" x14ac:dyDescent="0.3">
      <c r="B20" s="121"/>
      <c r="C20" s="121"/>
    </row>
    <row r="21" spans="2:3" ht="38.25" customHeight="1" x14ac:dyDescent="0.3">
      <c r="B21" s="121"/>
      <c r="C21" s="121"/>
    </row>
    <row r="22" spans="2:3" ht="38.25" customHeight="1" x14ac:dyDescent="0.3">
      <c r="B22" s="121"/>
      <c r="C22" s="121"/>
    </row>
    <row r="23" spans="2:3" ht="38.25" customHeight="1" x14ac:dyDescent="0.3">
      <c r="B23" s="133"/>
      <c r="C23" s="103"/>
    </row>
  </sheetData>
  <mergeCells count="3">
    <mergeCell ref="B4:G4"/>
    <mergeCell ref="B3:G3"/>
    <mergeCell ref="B2:G2"/>
  </mergeCells>
  <pageMargins left="0.7" right="0.7" top="0.75" bottom="0.75" header="0.3" footer="0.3"/>
  <pageSetup scale="52"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B2:I19"/>
  <sheetViews>
    <sheetView showGridLines="0" topLeftCell="E1" zoomScaleNormal="100" zoomScaleSheetLayoutView="80" workbookViewId="0">
      <selection activeCell="I11" sqref="I11"/>
    </sheetView>
  </sheetViews>
  <sheetFormatPr defaultRowHeight="13.8" x14ac:dyDescent="0.3"/>
  <cols>
    <col min="1" max="1" width="3.44140625" style="121" customWidth="1"/>
    <col min="2" max="2" width="4.5546875" style="138" bestFit="1" customWidth="1"/>
    <col min="3" max="3" width="14.6640625" style="138" customWidth="1"/>
    <col min="4" max="4" width="13.5546875" style="138" customWidth="1"/>
    <col min="5" max="5" width="34.6640625" style="138" customWidth="1"/>
    <col min="6" max="6" width="10.5546875" style="121" hidden="1" customWidth="1"/>
    <col min="7" max="7" width="9.6640625" style="121" hidden="1" customWidth="1"/>
    <col min="8" max="256" width="9.33203125" style="121"/>
    <col min="257" max="257" width="3.44140625" style="121" customWidth="1"/>
    <col min="258" max="258" width="4.5546875" style="121" bestFit="1" customWidth="1"/>
    <col min="259" max="259" width="14.6640625" style="121" customWidth="1"/>
    <col min="260" max="260" width="13.5546875" style="121" customWidth="1"/>
    <col min="261" max="261" width="34.6640625" style="121" customWidth="1"/>
    <col min="262" max="262" width="10.5546875" style="121" bestFit="1" customWidth="1"/>
    <col min="263" max="512" width="9.33203125" style="121"/>
    <col min="513" max="513" width="3.44140625" style="121" customWidth="1"/>
    <col min="514" max="514" width="4.5546875" style="121" bestFit="1" customWidth="1"/>
    <col min="515" max="515" width="14.6640625" style="121" customWidth="1"/>
    <col min="516" max="516" width="13.5546875" style="121" customWidth="1"/>
    <col min="517" max="517" width="34.6640625" style="121" customWidth="1"/>
    <col min="518" max="518" width="10.5546875" style="121" bestFit="1" customWidth="1"/>
    <col min="519" max="768" width="9.33203125" style="121"/>
    <col min="769" max="769" width="3.44140625" style="121" customWidth="1"/>
    <col min="770" max="770" width="4.5546875" style="121" bestFit="1" customWidth="1"/>
    <col min="771" max="771" width="14.6640625" style="121" customWidth="1"/>
    <col min="772" max="772" width="13.5546875" style="121" customWidth="1"/>
    <col min="773" max="773" width="34.6640625" style="121" customWidth="1"/>
    <col min="774" max="774" width="10.5546875" style="121" bestFit="1" customWidth="1"/>
    <col min="775" max="1024" width="9.33203125" style="121"/>
    <col min="1025" max="1025" width="3.44140625" style="121" customWidth="1"/>
    <col min="1026" max="1026" width="4.5546875" style="121" bestFit="1" customWidth="1"/>
    <col min="1027" max="1027" width="14.6640625" style="121" customWidth="1"/>
    <col min="1028" max="1028" width="13.5546875" style="121" customWidth="1"/>
    <col min="1029" max="1029" width="34.6640625" style="121" customWidth="1"/>
    <col min="1030" max="1030" width="10.5546875" style="121" bestFit="1" customWidth="1"/>
    <col min="1031" max="1280" width="9.33203125" style="121"/>
    <col min="1281" max="1281" width="3.44140625" style="121" customWidth="1"/>
    <col min="1282" max="1282" width="4.5546875" style="121" bestFit="1" customWidth="1"/>
    <col min="1283" max="1283" width="14.6640625" style="121" customWidth="1"/>
    <col min="1284" max="1284" width="13.5546875" style="121" customWidth="1"/>
    <col min="1285" max="1285" width="34.6640625" style="121" customWidth="1"/>
    <col min="1286" max="1286" width="10.5546875" style="121" bestFit="1" customWidth="1"/>
    <col min="1287" max="1536" width="9.33203125" style="121"/>
    <col min="1537" max="1537" width="3.44140625" style="121" customWidth="1"/>
    <col min="1538" max="1538" width="4.5546875" style="121" bestFit="1" customWidth="1"/>
    <col min="1539" max="1539" width="14.6640625" style="121" customWidth="1"/>
    <col min="1540" max="1540" width="13.5546875" style="121" customWidth="1"/>
    <col min="1541" max="1541" width="34.6640625" style="121" customWidth="1"/>
    <col min="1542" max="1542" width="10.5546875" style="121" bestFit="1" customWidth="1"/>
    <col min="1543" max="1792" width="9.33203125" style="121"/>
    <col min="1793" max="1793" width="3.44140625" style="121" customWidth="1"/>
    <col min="1794" max="1794" width="4.5546875" style="121" bestFit="1" customWidth="1"/>
    <col min="1795" max="1795" width="14.6640625" style="121" customWidth="1"/>
    <col min="1796" max="1796" width="13.5546875" style="121" customWidth="1"/>
    <col min="1797" max="1797" width="34.6640625" style="121" customWidth="1"/>
    <col min="1798" max="1798" width="10.5546875" style="121" bestFit="1" customWidth="1"/>
    <col min="1799" max="2048" width="9.33203125" style="121"/>
    <col min="2049" max="2049" width="3.44140625" style="121" customWidth="1"/>
    <col min="2050" max="2050" width="4.5546875" style="121" bestFit="1" customWidth="1"/>
    <col min="2051" max="2051" width="14.6640625" style="121" customWidth="1"/>
    <col min="2052" max="2052" width="13.5546875" style="121" customWidth="1"/>
    <col min="2053" max="2053" width="34.6640625" style="121" customWidth="1"/>
    <col min="2054" max="2054" width="10.5546875" style="121" bestFit="1" customWidth="1"/>
    <col min="2055" max="2304" width="9.33203125" style="121"/>
    <col min="2305" max="2305" width="3.44140625" style="121" customWidth="1"/>
    <col min="2306" max="2306" width="4.5546875" style="121" bestFit="1" customWidth="1"/>
    <col min="2307" max="2307" width="14.6640625" style="121" customWidth="1"/>
    <col min="2308" max="2308" width="13.5546875" style="121" customWidth="1"/>
    <col min="2309" max="2309" width="34.6640625" style="121" customWidth="1"/>
    <col min="2310" max="2310" width="10.5546875" style="121" bestFit="1" customWidth="1"/>
    <col min="2311" max="2560" width="9.33203125" style="121"/>
    <col min="2561" max="2561" width="3.44140625" style="121" customWidth="1"/>
    <col min="2562" max="2562" width="4.5546875" style="121" bestFit="1" customWidth="1"/>
    <col min="2563" max="2563" width="14.6640625" style="121" customWidth="1"/>
    <col min="2564" max="2564" width="13.5546875" style="121" customWidth="1"/>
    <col min="2565" max="2565" width="34.6640625" style="121" customWidth="1"/>
    <col min="2566" max="2566" width="10.5546875" style="121" bestFit="1" customWidth="1"/>
    <col min="2567" max="2816" width="9.33203125" style="121"/>
    <col min="2817" max="2817" width="3.44140625" style="121" customWidth="1"/>
    <col min="2818" max="2818" width="4.5546875" style="121" bestFit="1" customWidth="1"/>
    <col min="2819" max="2819" width="14.6640625" style="121" customWidth="1"/>
    <col min="2820" max="2820" width="13.5546875" style="121" customWidth="1"/>
    <col min="2821" max="2821" width="34.6640625" style="121" customWidth="1"/>
    <col min="2822" max="2822" width="10.5546875" style="121" bestFit="1" customWidth="1"/>
    <col min="2823" max="3072" width="9.33203125" style="121"/>
    <col min="3073" max="3073" width="3.44140625" style="121" customWidth="1"/>
    <col min="3074" max="3074" width="4.5546875" style="121" bestFit="1" customWidth="1"/>
    <col min="3075" max="3075" width="14.6640625" style="121" customWidth="1"/>
    <col min="3076" max="3076" width="13.5546875" style="121" customWidth="1"/>
    <col min="3077" max="3077" width="34.6640625" style="121" customWidth="1"/>
    <col min="3078" max="3078" width="10.5546875" style="121" bestFit="1" customWidth="1"/>
    <col min="3079" max="3328" width="9.33203125" style="121"/>
    <col min="3329" max="3329" width="3.44140625" style="121" customWidth="1"/>
    <col min="3330" max="3330" width="4.5546875" style="121" bestFit="1" customWidth="1"/>
    <col min="3331" max="3331" width="14.6640625" style="121" customWidth="1"/>
    <col min="3332" max="3332" width="13.5546875" style="121" customWidth="1"/>
    <col min="3333" max="3333" width="34.6640625" style="121" customWidth="1"/>
    <col min="3334" max="3334" width="10.5546875" style="121" bestFit="1" customWidth="1"/>
    <col min="3335" max="3584" width="9.33203125" style="121"/>
    <col min="3585" max="3585" width="3.44140625" style="121" customWidth="1"/>
    <col min="3586" max="3586" width="4.5546875" style="121" bestFit="1" customWidth="1"/>
    <col min="3587" max="3587" width="14.6640625" style="121" customWidth="1"/>
    <col min="3588" max="3588" width="13.5546875" style="121" customWidth="1"/>
    <col min="3589" max="3589" width="34.6640625" style="121" customWidth="1"/>
    <col min="3590" max="3590" width="10.5546875" style="121" bestFit="1" customWidth="1"/>
    <col min="3591" max="3840" width="9.33203125" style="121"/>
    <col min="3841" max="3841" width="3.44140625" style="121" customWidth="1"/>
    <col min="3842" max="3842" width="4.5546875" style="121" bestFit="1" customWidth="1"/>
    <col min="3843" max="3843" width="14.6640625" style="121" customWidth="1"/>
    <col min="3844" max="3844" width="13.5546875" style="121" customWidth="1"/>
    <col min="3845" max="3845" width="34.6640625" style="121" customWidth="1"/>
    <col min="3846" max="3846" width="10.5546875" style="121" bestFit="1" customWidth="1"/>
    <col min="3847" max="4096" width="9.33203125" style="121"/>
    <col min="4097" max="4097" width="3.44140625" style="121" customWidth="1"/>
    <col min="4098" max="4098" width="4.5546875" style="121" bestFit="1" customWidth="1"/>
    <col min="4099" max="4099" width="14.6640625" style="121" customWidth="1"/>
    <col min="4100" max="4100" width="13.5546875" style="121" customWidth="1"/>
    <col min="4101" max="4101" width="34.6640625" style="121" customWidth="1"/>
    <col min="4102" max="4102" width="10.5546875" style="121" bestFit="1" customWidth="1"/>
    <col min="4103" max="4352" width="9.33203125" style="121"/>
    <col min="4353" max="4353" width="3.44140625" style="121" customWidth="1"/>
    <col min="4354" max="4354" width="4.5546875" style="121" bestFit="1" customWidth="1"/>
    <col min="4355" max="4355" width="14.6640625" style="121" customWidth="1"/>
    <col min="4356" max="4356" width="13.5546875" style="121" customWidth="1"/>
    <col min="4357" max="4357" width="34.6640625" style="121" customWidth="1"/>
    <col min="4358" max="4358" width="10.5546875" style="121" bestFit="1" customWidth="1"/>
    <col min="4359" max="4608" width="9.33203125" style="121"/>
    <col min="4609" max="4609" width="3.44140625" style="121" customWidth="1"/>
    <col min="4610" max="4610" width="4.5546875" style="121" bestFit="1" customWidth="1"/>
    <col min="4611" max="4611" width="14.6640625" style="121" customWidth="1"/>
    <col min="4612" max="4612" width="13.5546875" style="121" customWidth="1"/>
    <col min="4613" max="4613" width="34.6640625" style="121" customWidth="1"/>
    <col min="4614" max="4614" width="10.5546875" style="121" bestFit="1" customWidth="1"/>
    <col min="4615" max="4864" width="9.33203125" style="121"/>
    <col min="4865" max="4865" width="3.44140625" style="121" customWidth="1"/>
    <col min="4866" max="4866" width="4.5546875" style="121" bestFit="1" customWidth="1"/>
    <col min="4867" max="4867" width="14.6640625" style="121" customWidth="1"/>
    <col min="4868" max="4868" width="13.5546875" style="121" customWidth="1"/>
    <col min="4869" max="4869" width="34.6640625" style="121" customWidth="1"/>
    <col min="4870" max="4870" width="10.5546875" style="121" bestFit="1" customWidth="1"/>
    <col min="4871" max="5120" width="9.33203125" style="121"/>
    <col min="5121" max="5121" width="3.44140625" style="121" customWidth="1"/>
    <col min="5122" max="5122" width="4.5546875" style="121" bestFit="1" customWidth="1"/>
    <col min="5123" max="5123" width="14.6640625" style="121" customWidth="1"/>
    <col min="5124" max="5124" width="13.5546875" style="121" customWidth="1"/>
    <col min="5125" max="5125" width="34.6640625" style="121" customWidth="1"/>
    <col min="5126" max="5126" width="10.5546875" style="121" bestFit="1" customWidth="1"/>
    <col min="5127" max="5376" width="9.33203125" style="121"/>
    <col min="5377" max="5377" width="3.44140625" style="121" customWidth="1"/>
    <col min="5378" max="5378" width="4.5546875" style="121" bestFit="1" customWidth="1"/>
    <col min="5379" max="5379" width="14.6640625" style="121" customWidth="1"/>
    <col min="5380" max="5380" width="13.5546875" style="121" customWidth="1"/>
    <col min="5381" max="5381" width="34.6640625" style="121" customWidth="1"/>
    <col min="5382" max="5382" width="10.5546875" style="121" bestFit="1" customWidth="1"/>
    <col min="5383" max="5632" width="9.33203125" style="121"/>
    <col min="5633" max="5633" width="3.44140625" style="121" customWidth="1"/>
    <col min="5634" max="5634" width="4.5546875" style="121" bestFit="1" customWidth="1"/>
    <col min="5635" max="5635" width="14.6640625" style="121" customWidth="1"/>
    <col min="5636" max="5636" width="13.5546875" style="121" customWidth="1"/>
    <col min="5637" max="5637" width="34.6640625" style="121" customWidth="1"/>
    <col min="5638" max="5638" width="10.5546875" style="121" bestFit="1" customWidth="1"/>
    <col min="5639" max="5888" width="9.33203125" style="121"/>
    <col min="5889" max="5889" width="3.44140625" style="121" customWidth="1"/>
    <col min="5890" max="5890" width="4.5546875" style="121" bestFit="1" customWidth="1"/>
    <col min="5891" max="5891" width="14.6640625" style="121" customWidth="1"/>
    <col min="5892" max="5892" width="13.5546875" style="121" customWidth="1"/>
    <col min="5893" max="5893" width="34.6640625" style="121" customWidth="1"/>
    <col min="5894" max="5894" width="10.5546875" style="121" bestFit="1" customWidth="1"/>
    <col min="5895" max="6144" width="9.33203125" style="121"/>
    <col min="6145" max="6145" width="3.44140625" style="121" customWidth="1"/>
    <col min="6146" max="6146" width="4.5546875" style="121" bestFit="1" customWidth="1"/>
    <col min="6147" max="6147" width="14.6640625" style="121" customWidth="1"/>
    <col min="6148" max="6148" width="13.5546875" style="121" customWidth="1"/>
    <col min="6149" max="6149" width="34.6640625" style="121" customWidth="1"/>
    <col min="6150" max="6150" width="10.5546875" style="121" bestFit="1" customWidth="1"/>
    <col min="6151" max="6400" width="9.33203125" style="121"/>
    <col min="6401" max="6401" width="3.44140625" style="121" customWidth="1"/>
    <col min="6402" max="6402" width="4.5546875" style="121" bestFit="1" customWidth="1"/>
    <col min="6403" max="6403" width="14.6640625" style="121" customWidth="1"/>
    <col min="6404" max="6404" width="13.5546875" style="121" customWidth="1"/>
    <col min="6405" max="6405" width="34.6640625" style="121" customWidth="1"/>
    <col min="6406" max="6406" width="10.5546875" style="121" bestFit="1" customWidth="1"/>
    <col min="6407" max="6656" width="9.33203125" style="121"/>
    <col min="6657" max="6657" width="3.44140625" style="121" customWidth="1"/>
    <col min="6658" max="6658" width="4.5546875" style="121" bestFit="1" customWidth="1"/>
    <col min="6659" max="6659" width="14.6640625" style="121" customWidth="1"/>
    <col min="6660" max="6660" width="13.5546875" style="121" customWidth="1"/>
    <col min="6661" max="6661" width="34.6640625" style="121" customWidth="1"/>
    <col min="6662" max="6662" width="10.5546875" style="121" bestFit="1" customWidth="1"/>
    <col min="6663" max="6912" width="9.33203125" style="121"/>
    <col min="6913" max="6913" width="3.44140625" style="121" customWidth="1"/>
    <col min="6914" max="6914" width="4.5546875" style="121" bestFit="1" customWidth="1"/>
    <col min="6915" max="6915" width="14.6640625" style="121" customWidth="1"/>
    <col min="6916" max="6916" width="13.5546875" style="121" customWidth="1"/>
    <col min="6917" max="6917" width="34.6640625" style="121" customWidth="1"/>
    <col min="6918" max="6918" width="10.5546875" style="121" bestFit="1" customWidth="1"/>
    <col min="6919" max="7168" width="9.33203125" style="121"/>
    <col min="7169" max="7169" width="3.44140625" style="121" customWidth="1"/>
    <col min="7170" max="7170" width="4.5546875" style="121" bestFit="1" customWidth="1"/>
    <col min="7171" max="7171" width="14.6640625" style="121" customWidth="1"/>
    <col min="7172" max="7172" width="13.5546875" style="121" customWidth="1"/>
    <col min="7173" max="7173" width="34.6640625" style="121" customWidth="1"/>
    <col min="7174" max="7174" width="10.5546875" style="121" bestFit="1" customWidth="1"/>
    <col min="7175" max="7424" width="9.33203125" style="121"/>
    <col min="7425" max="7425" width="3.44140625" style="121" customWidth="1"/>
    <col min="7426" max="7426" width="4.5546875" style="121" bestFit="1" customWidth="1"/>
    <col min="7427" max="7427" width="14.6640625" style="121" customWidth="1"/>
    <col min="7428" max="7428" width="13.5546875" style="121" customWidth="1"/>
    <col min="7429" max="7429" width="34.6640625" style="121" customWidth="1"/>
    <col min="7430" max="7430" width="10.5546875" style="121" bestFit="1" customWidth="1"/>
    <col min="7431" max="7680" width="9.33203125" style="121"/>
    <col min="7681" max="7681" width="3.44140625" style="121" customWidth="1"/>
    <col min="7682" max="7682" width="4.5546875" style="121" bestFit="1" customWidth="1"/>
    <col min="7683" max="7683" width="14.6640625" style="121" customWidth="1"/>
    <col min="7684" max="7684" width="13.5546875" style="121" customWidth="1"/>
    <col min="7685" max="7685" width="34.6640625" style="121" customWidth="1"/>
    <col min="7686" max="7686" width="10.5546875" style="121" bestFit="1" customWidth="1"/>
    <col min="7687" max="7936" width="9.33203125" style="121"/>
    <col min="7937" max="7937" width="3.44140625" style="121" customWidth="1"/>
    <col min="7938" max="7938" width="4.5546875" style="121" bestFit="1" customWidth="1"/>
    <col min="7939" max="7939" width="14.6640625" style="121" customWidth="1"/>
    <col min="7940" max="7940" width="13.5546875" style="121" customWidth="1"/>
    <col min="7941" max="7941" width="34.6640625" style="121" customWidth="1"/>
    <col min="7942" max="7942" width="10.5546875" style="121" bestFit="1" customWidth="1"/>
    <col min="7943" max="8192" width="9.33203125" style="121"/>
    <col min="8193" max="8193" width="3.44140625" style="121" customWidth="1"/>
    <col min="8194" max="8194" width="4.5546875" style="121" bestFit="1" customWidth="1"/>
    <col min="8195" max="8195" width="14.6640625" style="121" customWidth="1"/>
    <col min="8196" max="8196" width="13.5546875" style="121" customWidth="1"/>
    <col min="8197" max="8197" width="34.6640625" style="121" customWidth="1"/>
    <col min="8198" max="8198" width="10.5546875" style="121" bestFit="1" customWidth="1"/>
    <col min="8199" max="8448" width="9.33203125" style="121"/>
    <col min="8449" max="8449" width="3.44140625" style="121" customWidth="1"/>
    <col min="8450" max="8450" width="4.5546875" style="121" bestFit="1" customWidth="1"/>
    <col min="8451" max="8451" width="14.6640625" style="121" customWidth="1"/>
    <col min="8452" max="8452" width="13.5546875" style="121" customWidth="1"/>
    <col min="8453" max="8453" width="34.6640625" style="121" customWidth="1"/>
    <col min="8454" max="8454" width="10.5546875" style="121" bestFit="1" customWidth="1"/>
    <col min="8455" max="8704" width="9.33203125" style="121"/>
    <col min="8705" max="8705" width="3.44140625" style="121" customWidth="1"/>
    <col min="8706" max="8706" width="4.5546875" style="121" bestFit="1" customWidth="1"/>
    <col min="8707" max="8707" width="14.6640625" style="121" customWidth="1"/>
    <col min="8708" max="8708" width="13.5546875" style="121" customWidth="1"/>
    <col min="8709" max="8709" width="34.6640625" style="121" customWidth="1"/>
    <col min="8710" max="8710" width="10.5546875" style="121" bestFit="1" customWidth="1"/>
    <col min="8711" max="8960" width="9.33203125" style="121"/>
    <col min="8961" max="8961" width="3.44140625" style="121" customWidth="1"/>
    <col min="8962" max="8962" width="4.5546875" style="121" bestFit="1" customWidth="1"/>
    <col min="8963" max="8963" width="14.6640625" style="121" customWidth="1"/>
    <col min="8964" max="8964" width="13.5546875" style="121" customWidth="1"/>
    <col min="8965" max="8965" width="34.6640625" style="121" customWidth="1"/>
    <col min="8966" max="8966" width="10.5546875" style="121" bestFit="1" customWidth="1"/>
    <col min="8967" max="9216" width="9.33203125" style="121"/>
    <col min="9217" max="9217" width="3.44140625" style="121" customWidth="1"/>
    <col min="9218" max="9218" width="4.5546875" style="121" bestFit="1" customWidth="1"/>
    <col min="9219" max="9219" width="14.6640625" style="121" customWidth="1"/>
    <col min="9220" max="9220" width="13.5546875" style="121" customWidth="1"/>
    <col min="9221" max="9221" width="34.6640625" style="121" customWidth="1"/>
    <col min="9222" max="9222" width="10.5546875" style="121" bestFit="1" customWidth="1"/>
    <col min="9223" max="9472" width="9.33203125" style="121"/>
    <col min="9473" max="9473" width="3.44140625" style="121" customWidth="1"/>
    <col min="9474" max="9474" width="4.5546875" style="121" bestFit="1" customWidth="1"/>
    <col min="9475" max="9475" width="14.6640625" style="121" customWidth="1"/>
    <col min="9476" max="9476" width="13.5546875" style="121" customWidth="1"/>
    <col min="9477" max="9477" width="34.6640625" style="121" customWidth="1"/>
    <col min="9478" max="9478" width="10.5546875" style="121" bestFit="1" customWidth="1"/>
    <col min="9479" max="9728" width="9.33203125" style="121"/>
    <col min="9729" max="9729" width="3.44140625" style="121" customWidth="1"/>
    <col min="9730" max="9730" width="4.5546875" style="121" bestFit="1" customWidth="1"/>
    <col min="9731" max="9731" width="14.6640625" style="121" customWidth="1"/>
    <col min="9732" max="9732" width="13.5546875" style="121" customWidth="1"/>
    <col min="9733" max="9733" width="34.6640625" style="121" customWidth="1"/>
    <col min="9734" max="9734" width="10.5546875" style="121" bestFit="1" customWidth="1"/>
    <col min="9735" max="9984" width="9.33203125" style="121"/>
    <col min="9985" max="9985" width="3.44140625" style="121" customWidth="1"/>
    <col min="9986" max="9986" width="4.5546875" style="121" bestFit="1" customWidth="1"/>
    <col min="9987" max="9987" width="14.6640625" style="121" customWidth="1"/>
    <col min="9988" max="9988" width="13.5546875" style="121" customWidth="1"/>
    <col min="9989" max="9989" width="34.6640625" style="121" customWidth="1"/>
    <col min="9990" max="9990" width="10.5546875" style="121" bestFit="1" customWidth="1"/>
    <col min="9991" max="10240" width="9.33203125" style="121"/>
    <col min="10241" max="10241" width="3.44140625" style="121" customWidth="1"/>
    <col min="10242" max="10242" width="4.5546875" style="121" bestFit="1" customWidth="1"/>
    <col min="10243" max="10243" width="14.6640625" style="121" customWidth="1"/>
    <col min="10244" max="10244" width="13.5546875" style="121" customWidth="1"/>
    <col min="10245" max="10245" width="34.6640625" style="121" customWidth="1"/>
    <col min="10246" max="10246" width="10.5546875" style="121" bestFit="1" customWidth="1"/>
    <col min="10247" max="10496" width="9.33203125" style="121"/>
    <col min="10497" max="10497" width="3.44140625" style="121" customWidth="1"/>
    <col min="10498" max="10498" width="4.5546875" style="121" bestFit="1" customWidth="1"/>
    <col min="10499" max="10499" width="14.6640625" style="121" customWidth="1"/>
    <col min="10500" max="10500" width="13.5546875" style="121" customWidth="1"/>
    <col min="10501" max="10501" width="34.6640625" style="121" customWidth="1"/>
    <col min="10502" max="10502" width="10.5546875" style="121" bestFit="1" customWidth="1"/>
    <col min="10503" max="10752" width="9.33203125" style="121"/>
    <col min="10753" max="10753" width="3.44140625" style="121" customWidth="1"/>
    <col min="10754" max="10754" width="4.5546875" style="121" bestFit="1" customWidth="1"/>
    <col min="10755" max="10755" width="14.6640625" style="121" customWidth="1"/>
    <col min="10756" max="10756" width="13.5546875" style="121" customWidth="1"/>
    <col min="10757" max="10757" width="34.6640625" style="121" customWidth="1"/>
    <col min="10758" max="10758" width="10.5546875" style="121" bestFit="1" customWidth="1"/>
    <col min="10759" max="11008" width="9.33203125" style="121"/>
    <col min="11009" max="11009" width="3.44140625" style="121" customWidth="1"/>
    <col min="11010" max="11010" width="4.5546875" style="121" bestFit="1" customWidth="1"/>
    <col min="11011" max="11011" width="14.6640625" style="121" customWidth="1"/>
    <col min="11012" max="11012" width="13.5546875" style="121" customWidth="1"/>
    <col min="11013" max="11013" width="34.6640625" style="121" customWidth="1"/>
    <col min="11014" max="11014" width="10.5546875" style="121" bestFit="1" customWidth="1"/>
    <col min="11015" max="11264" width="9.33203125" style="121"/>
    <col min="11265" max="11265" width="3.44140625" style="121" customWidth="1"/>
    <col min="11266" max="11266" width="4.5546875" style="121" bestFit="1" customWidth="1"/>
    <col min="11267" max="11267" width="14.6640625" style="121" customWidth="1"/>
    <col min="11268" max="11268" width="13.5546875" style="121" customWidth="1"/>
    <col min="11269" max="11269" width="34.6640625" style="121" customWidth="1"/>
    <col min="11270" max="11270" width="10.5546875" style="121" bestFit="1" customWidth="1"/>
    <col min="11271" max="11520" width="9.33203125" style="121"/>
    <col min="11521" max="11521" width="3.44140625" style="121" customWidth="1"/>
    <col min="11522" max="11522" width="4.5546875" style="121" bestFit="1" customWidth="1"/>
    <col min="11523" max="11523" width="14.6640625" style="121" customWidth="1"/>
    <col min="11524" max="11524" width="13.5546875" style="121" customWidth="1"/>
    <col min="11525" max="11525" width="34.6640625" style="121" customWidth="1"/>
    <col min="11526" max="11526" width="10.5546875" style="121" bestFit="1" customWidth="1"/>
    <col min="11527" max="11776" width="9.33203125" style="121"/>
    <col min="11777" max="11777" width="3.44140625" style="121" customWidth="1"/>
    <col min="11778" max="11778" width="4.5546875" style="121" bestFit="1" customWidth="1"/>
    <col min="11779" max="11779" width="14.6640625" style="121" customWidth="1"/>
    <col min="11780" max="11780" width="13.5546875" style="121" customWidth="1"/>
    <col min="11781" max="11781" width="34.6640625" style="121" customWidth="1"/>
    <col min="11782" max="11782" width="10.5546875" style="121" bestFit="1" customWidth="1"/>
    <col min="11783" max="12032" width="9.33203125" style="121"/>
    <col min="12033" max="12033" width="3.44140625" style="121" customWidth="1"/>
    <col min="12034" max="12034" width="4.5546875" style="121" bestFit="1" customWidth="1"/>
    <col min="12035" max="12035" width="14.6640625" style="121" customWidth="1"/>
    <col min="12036" max="12036" width="13.5546875" style="121" customWidth="1"/>
    <col min="12037" max="12037" width="34.6640625" style="121" customWidth="1"/>
    <col min="12038" max="12038" width="10.5546875" style="121" bestFit="1" customWidth="1"/>
    <col min="12039" max="12288" width="9.33203125" style="121"/>
    <col min="12289" max="12289" width="3.44140625" style="121" customWidth="1"/>
    <col min="12290" max="12290" width="4.5546875" style="121" bestFit="1" customWidth="1"/>
    <col min="12291" max="12291" width="14.6640625" style="121" customWidth="1"/>
    <col min="12292" max="12292" width="13.5546875" style="121" customWidth="1"/>
    <col min="12293" max="12293" width="34.6640625" style="121" customWidth="1"/>
    <col min="12294" max="12294" width="10.5546875" style="121" bestFit="1" customWidth="1"/>
    <col min="12295" max="12544" width="9.33203125" style="121"/>
    <col min="12545" max="12545" width="3.44140625" style="121" customWidth="1"/>
    <col min="12546" max="12546" width="4.5546875" style="121" bestFit="1" customWidth="1"/>
    <col min="12547" max="12547" width="14.6640625" style="121" customWidth="1"/>
    <col min="12548" max="12548" width="13.5546875" style="121" customWidth="1"/>
    <col min="12549" max="12549" width="34.6640625" style="121" customWidth="1"/>
    <col min="12550" max="12550" width="10.5546875" style="121" bestFit="1" customWidth="1"/>
    <col min="12551" max="12800" width="9.33203125" style="121"/>
    <col min="12801" max="12801" width="3.44140625" style="121" customWidth="1"/>
    <col min="12802" max="12802" width="4.5546875" style="121" bestFit="1" customWidth="1"/>
    <col min="12803" max="12803" width="14.6640625" style="121" customWidth="1"/>
    <col min="12804" max="12804" width="13.5546875" style="121" customWidth="1"/>
    <col min="12805" max="12805" width="34.6640625" style="121" customWidth="1"/>
    <col min="12806" max="12806" width="10.5546875" style="121" bestFit="1" customWidth="1"/>
    <col min="12807" max="13056" width="9.33203125" style="121"/>
    <col min="13057" max="13057" width="3.44140625" style="121" customWidth="1"/>
    <col min="13058" max="13058" width="4.5546875" style="121" bestFit="1" customWidth="1"/>
    <col min="13059" max="13059" width="14.6640625" style="121" customWidth="1"/>
    <col min="13060" max="13060" width="13.5546875" style="121" customWidth="1"/>
    <col min="13061" max="13061" width="34.6640625" style="121" customWidth="1"/>
    <col min="13062" max="13062" width="10.5546875" style="121" bestFit="1" customWidth="1"/>
    <col min="13063" max="13312" width="9.33203125" style="121"/>
    <col min="13313" max="13313" width="3.44140625" style="121" customWidth="1"/>
    <col min="13314" max="13314" width="4.5546875" style="121" bestFit="1" customWidth="1"/>
    <col min="13315" max="13315" width="14.6640625" style="121" customWidth="1"/>
    <col min="13316" max="13316" width="13.5546875" style="121" customWidth="1"/>
    <col min="13317" max="13317" width="34.6640625" style="121" customWidth="1"/>
    <col min="13318" max="13318" width="10.5546875" style="121" bestFit="1" customWidth="1"/>
    <col min="13319" max="13568" width="9.33203125" style="121"/>
    <col min="13569" max="13569" width="3.44140625" style="121" customWidth="1"/>
    <col min="13570" max="13570" width="4.5546875" style="121" bestFit="1" customWidth="1"/>
    <col min="13571" max="13571" width="14.6640625" style="121" customWidth="1"/>
    <col min="13572" max="13572" width="13.5546875" style="121" customWidth="1"/>
    <col min="13573" max="13573" width="34.6640625" style="121" customWidth="1"/>
    <col min="13574" max="13574" width="10.5546875" style="121" bestFit="1" customWidth="1"/>
    <col min="13575" max="13824" width="9.33203125" style="121"/>
    <col min="13825" max="13825" width="3.44140625" style="121" customWidth="1"/>
    <col min="13826" max="13826" width="4.5546875" style="121" bestFit="1" customWidth="1"/>
    <col min="13827" max="13827" width="14.6640625" style="121" customWidth="1"/>
    <col min="13828" max="13828" width="13.5546875" style="121" customWidth="1"/>
    <col min="13829" max="13829" width="34.6640625" style="121" customWidth="1"/>
    <col min="13830" max="13830" width="10.5546875" style="121" bestFit="1" customWidth="1"/>
    <col min="13831" max="14080" width="9.33203125" style="121"/>
    <col min="14081" max="14081" width="3.44140625" style="121" customWidth="1"/>
    <col min="14082" max="14082" width="4.5546875" style="121" bestFit="1" customWidth="1"/>
    <col min="14083" max="14083" width="14.6640625" style="121" customWidth="1"/>
    <col min="14084" max="14084" width="13.5546875" style="121" customWidth="1"/>
    <col min="14085" max="14085" width="34.6640625" style="121" customWidth="1"/>
    <col min="14086" max="14086" width="10.5546875" style="121" bestFit="1" customWidth="1"/>
    <col min="14087" max="14336" width="9.33203125" style="121"/>
    <col min="14337" max="14337" width="3.44140625" style="121" customWidth="1"/>
    <col min="14338" max="14338" width="4.5546875" style="121" bestFit="1" customWidth="1"/>
    <col min="14339" max="14339" width="14.6640625" style="121" customWidth="1"/>
    <col min="14340" max="14340" width="13.5546875" style="121" customWidth="1"/>
    <col min="14341" max="14341" width="34.6640625" style="121" customWidth="1"/>
    <col min="14342" max="14342" width="10.5546875" style="121" bestFit="1" customWidth="1"/>
    <col min="14343" max="14592" width="9.33203125" style="121"/>
    <col min="14593" max="14593" width="3.44140625" style="121" customWidth="1"/>
    <col min="14594" max="14594" width="4.5546875" style="121" bestFit="1" customWidth="1"/>
    <col min="14595" max="14595" width="14.6640625" style="121" customWidth="1"/>
    <col min="14596" max="14596" width="13.5546875" style="121" customWidth="1"/>
    <col min="14597" max="14597" width="34.6640625" style="121" customWidth="1"/>
    <col min="14598" max="14598" width="10.5546875" style="121" bestFit="1" customWidth="1"/>
    <col min="14599" max="14848" width="9.33203125" style="121"/>
    <col min="14849" max="14849" width="3.44140625" style="121" customWidth="1"/>
    <col min="14850" max="14850" width="4.5546875" style="121" bestFit="1" customWidth="1"/>
    <col min="14851" max="14851" width="14.6640625" style="121" customWidth="1"/>
    <col min="14852" max="14852" width="13.5546875" style="121" customWidth="1"/>
    <col min="14853" max="14853" width="34.6640625" style="121" customWidth="1"/>
    <col min="14854" max="14854" width="10.5546875" style="121" bestFit="1" customWidth="1"/>
    <col min="14855" max="15104" width="9.33203125" style="121"/>
    <col min="15105" max="15105" width="3.44140625" style="121" customWidth="1"/>
    <col min="15106" max="15106" width="4.5546875" style="121" bestFit="1" customWidth="1"/>
    <col min="15107" max="15107" width="14.6640625" style="121" customWidth="1"/>
    <col min="15108" max="15108" width="13.5546875" style="121" customWidth="1"/>
    <col min="15109" max="15109" width="34.6640625" style="121" customWidth="1"/>
    <col min="15110" max="15110" width="10.5546875" style="121" bestFit="1" customWidth="1"/>
    <col min="15111" max="15360" width="9.33203125" style="121"/>
    <col min="15361" max="15361" width="3.44140625" style="121" customWidth="1"/>
    <col min="15362" max="15362" width="4.5546875" style="121" bestFit="1" customWidth="1"/>
    <col min="15363" max="15363" width="14.6640625" style="121" customWidth="1"/>
    <col min="15364" max="15364" width="13.5546875" style="121" customWidth="1"/>
    <col min="15365" max="15365" width="34.6640625" style="121" customWidth="1"/>
    <col min="15366" max="15366" width="10.5546875" style="121" bestFit="1" customWidth="1"/>
    <col min="15367" max="15616" width="9.33203125" style="121"/>
    <col min="15617" max="15617" width="3.44140625" style="121" customWidth="1"/>
    <col min="15618" max="15618" width="4.5546875" style="121" bestFit="1" customWidth="1"/>
    <col min="15619" max="15619" width="14.6640625" style="121" customWidth="1"/>
    <col min="15620" max="15620" width="13.5546875" style="121" customWidth="1"/>
    <col min="15621" max="15621" width="34.6640625" style="121" customWidth="1"/>
    <col min="15622" max="15622" width="10.5546875" style="121" bestFit="1" customWidth="1"/>
    <col min="15623" max="15872" width="9.33203125" style="121"/>
    <col min="15873" max="15873" width="3.44140625" style="121" customWidth="1"/>
    <col min="15874" max="15874" width="4.5546875" style="121" bestFit="1" customWidth="1"/>
    <col min="15875" max="15875" width="14.6640625" style="121" customWidth="1"/>
    <col min="15876" max="15876" width="13.5546875" style="121" customWidth="1"/>
    <col min="15877" max="15877" width="34.6640625" style="121" customWidth="1"/>
    <col min="15878" max="15878" width="10.5546875" style="121" bestFit="1" customWidth="1"/>
    <col min="15879" max="16128" width="9.33203125" style="121"/>
    <col min="16129" max="16129" width="3.44140625" style="121" customWidth="1"/>
    <col min="16130" max="16130" width="4.5546875" style="121" bestFit="1" customWidth="1"/>
    <col min="16131" max="16131" width="14.6640625" style="121" customWidth="1"/>
    <col min="16132" max="16132" width="13.5546875" style="121" customWidth="1"/>
    <col min="16133" max="16133" width="34.6640625" style="121" customWidth="1"/>
    <col min="16134" max="16134" width="10.5546875" style="121" bestFit="1" customWidth="1"/>
    <col min="16135" max="16384" width="9.33203125" style="121"/>
  </cols>
  <sheetData>
    <row r="2" spans="2:9" s="135" customFormat="1" ht="12.75" customHeight="1" x14ac:dyDescent="0.3">
      <c r="B2" s="647" t="s">
        <v>702</v>
      </c>
      <c r="C2" s="648"/>
      <c r="D2" s="648"/>
      <c r="E2" s="648"/>
      <c r="F2" s="648"/>
      <c r="G2" s="648"/>
      <c r="H2" s="648"/>
      <c r="I2" s="648"/>
    </row>
    <row r="3" spans="2:9" s="135" customFormat="1" ht="12.75" customHeight="1" x14ac:dyDescent="0.3">
      <c r="B3" s="633" t="s">
        <v>703</v>
      </c>
      <c r="C3" s="634"/>
      <c r="D3" s="634"/>
      <c r="E3" s="634"/>
      <c r="F3" s="634"/>
      <c r="G3" s="634"/>
      <c r="H3" s="634"/>
      <c r="I3" s="634"/>
    </row>
    <row r="4" spans="2:9" s="135" customFormat="1" ht="12.75" customHeight="1" x14ac:dyDescent="0.3">
      <c r="B4" s="633" t="str">
        <f>'F9'!B4:D4</f>
        <v>CHHATTISGARH STATE POWER TRANSMISSION COMPANY LIMITED</v>
      </c>
      <c r="C4" s="634"/>
      <c r="D4" s="634"/>
      <c r="E4" s="634"/>
      <c r="F4" s="634"/>
      <c r="G4" s="634"/>
      <c r="H4" s="634"/>
      <c r="I4" s="634"/>
    </row>
    <row r="5" spans="2:9" ht="12.75" customHeight="1" x14ac:dyDescent="0.3">
      <c r="B5" s="656" t="s">
        <v>704</v>
      </c>
      <c r="C5" s="658" t="s">
        <v>2</v>
      </c>
      <c r="D5" s="658"/>
      <c r="E5" s="658"/>
      <c r="F5" s="658" t="str">
        <f>'F9'!D5</f>
        <v>FY 2018-19</v>
      </c>
      <c r="G5" s="652" t="s">
        <v>27</v>
      </c>
      <c r="H5" s="652" t="s">
        <v>28</v>
      </c>
      <c r="I5" s="652" t="s">
        <v>29</v>
      </c>
    </row>
    <row r="6" spans="2:9" ht="12.75" customHeight="1" x14ac:dyDescent="0.3">
      <c r="B6" s="657"/>
      <c r="C6" s="659"/>
      <c r="D6" s="659"/>
      <c r="E6" s="659"/>
      <c r="F6" s="659"/>
      <c r="G6" s="653"/>
      <c r="H6" s="653"/>
      <c r="I6" s="653"/>
    </row>
    <row r="7" spans="2:9" s="77" customFormat="1" ht="15.75" customHeight="1" thickBot="1" x14ac:dyDescent="0.35">
      <c r="B7" s="423">
        <v>1</v>
      </c>
      <c r="C7" s="655" t="s">
        <v>705</v>
      </c>
      <c r="D7" s="655"/>
      <c r="E7" s="655"/>
      <c r="F7" s="425">
        <f>'[46]Transmission_Loss_Annex-IX'!Q6</f>
        <v>19945.026241910004</v>
      </c>
      <c r="G7" s="426">
        <f>[34]Losses!$F$4</f>
        <v>17037.411032219999</v>
      </c>
      <c r="H7" s="567">
        <v>17405.560000000001</v>
      </c>
      <c r="I7" s="334">
        <v>16611.25</v>
      </c>
    </row>
    <row r="8" spans="2:9" s="77" customFormat="1" ht="15.75" customHeight="1" thickBot="1" x14ac:dyDescent="0.35">
      <c r="B8" s="423">
        <v>2</v>
      </c>
      <c r="C8" s="655" t="s">
        <v>706</v>
      </c>
      <c r="D8" s="655"/>
      <c r="E8" s="655"/>
      <c r="F8" s="425">
        <f>'[46]Transmission_Loss_Annex-IX'!Q7</f>
        <v>5979.5733551639987</v>
      </c>
      <c r="G8" s="427">
        <f>[34]Losses!$F$7</f>
        <v>9528.4276595989977</v>
      </c>
      <c r="H8" s="567">
        <v>9651.6</v>
      </c>
      <c r="I8" s="334">
        <v>12500.58</v>
      </c>
    </row>
    <row r="9" spans="2:9" s="77" customFormat="1" ht="15.75" customHeight="1" thickBot="1" x14ac:dyDescent="0.35">
      <c r="B9" s="423">
        <v>3</v>
      </c>
      <c r="C9" s="655" t="s">
        <v>707</v>
      </c>
      <c r="D9" s="655"/>
      <c r="E9" s="655"/>
      <c r="F9" s="425">
        <f>'[46]Transmission_Loss_Annex-IX'!Q8</f>
        <v>889.43423033333329</v>
      </c>
      <c r="G9" s="428">
        <f>[34]Losses!$F$8</f>
        <v>1199.6240909933335</v>
      </c>
      <c r="H9" s="567">
        <v>1067.82</v>
      </c>
      <c r="I9" s="334">
        <v>1255.32</v>
      </c>
    </row>
    <row r="10" spans="2:9" s="77" customFormat="1" ht="15.75" customHeight="1" thickBot="1" x14ac:dyDescent="0.35">
      <c r="B10" s="424">
        <v>4</v>
      </c>
      <c r="C10" s="660" t="s">
        <v>708</v>
      </c>
      <c r="D10" s="660"/>
      <c r="E10" s="660"/>
      <c r="F10" s="429">
        <f>SUM(F7:F9)</f>
        <v>26814.033827407337</v>
      </c>
      <c r="G10" s="429">
        <f>SUM(G7:G9)</f>
        <v>27765.46278281233</v>
      </c>
      <c r="H10" s="226">
        <v>28124.98</v>
      </c>
      <c r="I10" s="345">
        <f>I7+I8+I9</f>
        <v>30367.15</v>
      </c>
    </row>
    <row r="11" spans="2:9" s="77" customFormat="1" ht="15.75" customHeight="1" thickBot="1" x14ac:dyDescent="0.35">
      <c r="B11" s="423">
        <v>5</v>
      </c>
      <c r="C11" s="655" t="s">
        <v>709</v>
      </c>
      <c r="D11" s="655"/>
      <c r="E11" s="655"/>
      <c r="F11" s="425">
        <f>'[46]Transmission_Loss_Annex-IX'!$Q$11</f>
        <v>2879.7221729999997</v>
      </c>
      <c r="G11" s="428">
        <f>[34]Losses!$F$10</f>
        <v>2764.755361</v>
      </c>
      <c r="H11" s="567">
        <v>9651.6</v>
      </c>
      <c r="I11" s="333">
        <f>3514+5.29</f>
        <v>3519.29</v>
      </c>
    </row>
    <row r="12" spans="2:9" s="77" customFormat="1" ht="15.75" customHeight="1" thickBot="1" x14ac:dyDescent="0.35">
      <c r="B12" s="423">
        <v>6</v>
      </c>
      <c r="C12" s="655" t="s">
        <v>710</v>
      </c>
      <c r="D12" s="655"/>
      <c r="E12" s="655"/>
      <c r="F12" s="425">
        <f>'[46]Transmission_Loss_Annex-IX'!$Q$10</f>
        <v>23106.2292471494</v>
      </c>
      <c r="G12" s="430">
        <f>[34]Losses!$F$11</f>
        <v>24177.999310731178</v>
      </c>
      <c r="H12" s="567">
        <v>1067.82</v>
      </c>
      <c r="I12" s="334">
        <f>25929.46</f>
        <v>25929.46</v>
      </c>
    </row>
    <row r="13" spans="2:9" s="77" customFormat="1" ht="15.75" customHeight="1" thickBot="1" x14ac:dyDescent="0.35">
      <c r="B13" s="423">
        <f>B12+1</f>
        <v>7</v>
      </c>
      <c r="C13" s="651" t="s">
        <v>711</v>
      </c>
      <c r="D13" s="651"/>
      <c r="E13" s="651"/>
      <c r="F13" s="431">
        <f>SUM(F11:F12)</f>
        <v>25985.951420149398</v>
      </c>
      <c r="G13" s="431">
        <f>SUM(G11:G12)</f>
        <v>26942.754671731178</v>
      </c>
      <c r="H13" s="568">
        <v>28124.98</v>
      </c>
      <c r="I13" s="563">
        <f>I11+I12</f>
        <v>29448.75</v>
      </c>
    </row>
    <row r="14" spans="2:9" s="77" customFormat="1" ht="15.75" customHeight="1" thickBot="1" x14ac:dyDescent="0.35">
      <c r="B14" s="423">
        <f>B13+1</f>
        <v>8</v>
      </c>
      <c r="C14" s="651" t="s">
        <v>712</v>
      </c>
      <c r="D14" s="651"/>
      <c r="E14" s="651"/>
      <c r="F14" s="431">
        <f>F10-F13</f>
        <v>828.08240725793803</v>
      </c>
      <c r="G14" s="431">
        <f>G10-G13</f>
        <v>822.70811108115231</v>
      </c>
      <c r="H14" s="536">
        <v>866.88</v>
      </c>
      <c r="I14" s="333">
        <f>I10-I13</f>
        <v>918.40000000000146</v>
      </c>
    </row>
    <row r="15" spans="2:9" ht="15.75" customHeight="1" thickBot="1" x14ac:dyDescent="0.35">
      <c r="B15" s="424">
        <f>B14+1</f>
        <v>9</v>
      </c>
      <c r="C15" s="651" t="s">
        <v>713</v>
      </c>
      <c r="D15" s="651"/>
      <c r="E15" s="651"/>
      <c r="F15" s="372">
        <f>F14/F10</f>
        <v>3.0882425694993082E-2</v>
      </c>
      <c r="G15" s="372">
        <f>G14/G10</f>
        <v>2.9630628436362088E-2</v>
      </c>
      <c r="H15" s="569">
        <v>3.09E-2</v>
      </c>
      <c r="I15" s="564">
        <f>I14/I10</f>
        <v>3.0243206886388794E-2</v>
      </c>
    </row>
    <row r="16" spans="2:9" x14ac:dyDescent="0.3">
      <c r="B16" s="654"/>
      <c r="C16" s="654"/>
      <c r="D16" s="654"/>
      <c r="E16" s="654"/>
      <c r="F16" s="107"/>
    </row>
    <row r="17" spans="2:5" x14ac:dyDescent="0.3">
      <c r="B17" s="136"/>
      <c r="C17" s="649"/>
      <c r="D17" s="649"/>
      <c r="E17" s="649"/>
    </row>
    <row r="18" spans="2:5" x14ac:dyDescent="0.3">
      <c r="B18" s="137"/>
      <c r="C18" s="650"/>
      <c r="D18" s="650"/>
      <c r="E18" s="650"/>
    </row>
    <row r="19" spans="2:5" x14ac:dyDescent="0.3">
      <c r="B19" s="137"/>
      <c r="C19" s="650"/>
      <c r="D19" s="650"/>
      <c r="E19" s="650"/>
    </row>
  </sheetData>
  <mergeCells count="22">
    <mergeCell ref="C11:E11"/>
    <mergeCell ref="F5:F6"/>
    <mergeCell ref="C7:E7"/>
    <mergeCell ref="C8:E8"/>
    <mergeCell ref="C9:E9"/>
    <mergeCell ref="C10:E10"/>
    <mergeCell ref="B2:I2"/>
    <mergeCell ref="C17:E17"/>
    <mergeCell ref="C18:E18"/>
    <mergeCell ref="C19:E19"/>
    <mergeCell ref="C13:E13"/>
    <mergeCell ref="C14:E14"/>
    <mergeCell ref="C15:E15"/>
    <mergeCell ref="H5:H6"/>
    <mergeCell ref="I5:I6"/>
    <mergeCell ref="B4:I4"/>
    <mergeCell ref="B3:I3"/>
    <mergeCell ref="B16:E16"/>
    <mergeCell ref="G5:G6"/>
    <mergeCell ref="C12:E12"/>
    <mergeCell ref="B5:B6"/>
    <mergeCell ref="C5:E6"/>
  </mergeCells>
  <pageMargins left="0.7" right="0.7" top="0.75" bottom="0.75" header="0.3" footer="0.3"/>
  <pageSetup scale="44" orientation="portrait" horizontalDpi="90" verticalDpi="9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220"/>
  <sheetViews>
    <sheetView topLeftCell="A26" workbookViewId="0">
      <selection activeCell="F79" sqref="F79:G81"/>
    </sheetView>
  </sheetViews>
  <sheetFormatPr defaultColWidth="9.33203125" defaultRowHeight="13.8" x14ac:dyDescent="0.3"/>
  <cols>
    <col min="1" max="1" width="3" style="1" customWidth="1"/>
    <col min="2" max="2" width="5.6640625" style="19" bestFit="1" customWidth="1"/>
    <col min="3" max="3" width="39.5546875" style="1" customWidth="1"/>
    <col min="4" max="4" width="13" style="1" customWidth="1"/>
    <col min="5" max="16384" width="9.33203125" style="1"/>
  </cols>
  <sheetData>
    <row r="1" spans="2:7" x14ac:dyDescent="0.3">
      <c r="B1" s="661" t="s">
        <v>714</v>
      </c>
      <c r="C1" s="662"/>
      <c r="D1" s="662"/>
      <c r="E1" s="662"/>
      <c r="F1" s="662"/>
      <c r="G1" s="662"/>
    </row>
    <row r="2" spans="2:7" x14ac:dyDescent="0.3">
      <c r="B2" s="661" t="s">
        <v>715</v>
      </c>
      <c r="C2" s="662"/>
      <c r="D2" s="662"/>
      <c r="E2" s="662"/>
      <c r="F2" s="662"/>
      <c r="G2" s="662"/>
    </row>
    <row r="3" spans="2:7" x14ac:dyDescent="0.3">
      <c r="B3" s="436" t="s">
        <v>1</v>
      </c>
      <c r="C3" s="437" t="s">
        <v>2</v>
      </c>
      <c r="D3" s="437" t="s">
        <v>26</v>
      </c>
      <c r="E3" s="438" t="s">
        <v>27</v>
      </c>
      <c r="F3" s="481" t="s">
        <v>28</v>
      </c>
      <c r="G3" s="483" t="s">
        <v>29</v>
      </c>
    </row>
    <row r="4" spans="2:7" x14ac:dyDescent="0.3">
      <c r="B4" s="432"/>
      <c r="C4" s="433"/>
      <c r="D4" s="434"/>
      <c r="E4" s="435"/>
      <c r="F4" s="148"/>
      <c r="G4" s="148"/>
    </row>
    <row r="5" spans="2:7" x14ac:dyDescent="0.3">
      <c r="B5" s="150" t="s">
        <v>228</v>
      </c>
      <c r="C5" s="151" t="s">
        <v>716</v>
      </c>
      <c r="D5" s="152"/>
      <c r="E5" s="307"/>
      <c r="F5" s="148"/>
      <c r="G5" s="148"/>
    </row>
    <row r="6" spans="2:7" x14ac:dyDescent="0.3">
      <c r="B6" s="150">
        <v>1</v>
      </c>
      <c r="C6" s="153" t="s">
        <v>717</v>
      </c>
      <c r="D6" s="152"/>
      <c r="E6" s="307"/>
      <c r="F6" s="148"/>
      <c r="G6" s="148"/>
    </row>
    <row r="7" spans="2:7" x14ac:dyDescent="0.3">
      <c r="B7" s="150" t="s">
        <v>718</v>
      </c>
      <c r="C7" s="153" t="s">
        <v>719</v>
      </c>
      <c r="D7" s="152"/>
      <c r="E7" s="307"/>
      <c r="F7" s="148"/>
      <c r="G7" s="148"/>
    </row>
    <row r="8" spans="2:7" x14ac:dyDescent="0.3">
      <c r="B8" s="154" t="s">
        <v>249</v>
      </c>
      <c r="C8" s="155" t="s">
        <v>94</v>
      </c>
      <c r="D8" s="241">
        <f>'F3'!E5</f>
        <v>132</v>
      </c>
      <c r="E8" s="311">
        <v>132</v>
      </c>
      <c r="F8" s="148"/>
      <c r="G8" s="148"/>
    </row>
    <row r="9" spans="2:7" x14ac:dyDescent="0.3">
      <c r="B9" s="154" t="s">
        <v>251</v>
      </c>
      <c r="C9" s="155" t="s">
        <v>95</v>
      </c>
      <c r="D9" s="241">
        <f>'F3'!E6</f>
        <v>195</v>
      </c>
      <c r="E9" s="311">
        <v>195</v>
      </c>
      <c r="F9" s="148"/>
      <c r="G9" s="148"/>
    </row>
    <row r="10" spans="2:7" x14ac:dyDescent="0.3">
      <c r="B10" s="154" t="s">
        <v>588</v>
      </c>
      <c r="C10" s="155" t="s">
        <v>96</v>
      </c>
      <c r="D10" s="241">
        <f>'F3'!E7</f>
        <v>779</v>
      </c>
      <c r="E10" s="311">
        <v>779</v>
      </c>
      <c r="F10" s="148"/>
      <c r="G10" s="148"/>
    </row>
    <row r="11" spans="2:7" x14ac:dyDescent="0.3">
      <c r="B11" s="154" t="s">
        <v>720</v>
      </c>
      <c r="C11" s="155" t="s">
        <v>97</v>
      </c>
      <c r="D11" s="241">
        <f>'F3'!E8</f>
        <v>521</v>
      </c>
      <c r="E11" s="311">
        <v>521</v>
      </c>
      <c r="F11" s="148"/>
      <c r="G11" s="148"/>
    </row>
    <row r="12" spans="2:7" x14ac:dyDescent="0.3">
      <c r="B12" s="156"/>
      <c r="C12" s="157" t="s">
        <v>98</v>
      </c>
      <c r="D12" s="242">
        <f>SUM(D8:D11)</f>
        <v>1627</v>
      </c>
      <c r="E12" s="242">
        <f>SUM(E8:E11)</f>
        <v>1627</v>
      </c>
      <c r="F12" s="148"/>
      <c r="G12" s="148"/>
    </row>
    <row r="13" spans="2:7" x14ac:dyDescent="0.3">
      <c r="B13" s="150">
        <v>2</v>
      </c>
      <c r="C13" s="159" t="s">
        <v>721</v>
      </c>
      <c r="D13" s="160"/>
      <c r="E13" s="307"/>
      <c r="F13" s="148"/>
      <c r="G13" s="148"/>
    </row>
    <row r="14" spans="2:7" x14ac:dyDescent="0.3">
      <c r="B14" s="150" t="s">
        <v>718</v>
      </c>
      <c r="C14" s="159" t="s">
        <v>719</v>
      </c>
      <c r="D14" s="160"/>
      <c r="E14" s="307"/>
      <c r="F14" s="148"/>
      <c r="G14" s="148"/>
    </row>
    <row r="15" spans="2:7" x14ac:dyDescent="0.3">
      <c r="B15" s="154" t="s">
        <v>249</v>
      </c>
      <c r="C15" s="161" t="s">
        <v>94</v>
      </c>
      <c r="D15" s="241">
        <f>'F3'!D5</f>
        <v>160</v>
      </c>
      <c r="E15" s="241">
        <v>160</v>
      </c>
      <c r="F15" s="148"/>
      <c r="G15" s="148"/>
    </row>
    <row r="16" spans="2:7" x14ac:dyDescent="0.3">
      <c r="B16" s="154" t="s">
        <v>251</v>
      </c>
      <c r="C16" s="161" t="s">
        <v>95</v>
      </c>
      <c r="D16" s="241">
        <f>'F3'!D6</f>
        <v>241</v>
      </c>
      <c r="E16" s="241">
        <v>241</v>
      </c>
      <c r="F16" s="148"/>
      <c r="G16" s="148"/>
    </row>
    <row r="17" spans="2:7" x14ac:dyDescent="0.3">
      <c r="B17" s="154" t="s">
        <v>588</v>
      </c>
      <c r="C17" s="161" t="s">
        <v>96</v>
      </c>
      <c r="D17" s="241">
        <f>'F3'!D7</f>
        <v>1543</v>
      </c>
      <c r="E17" s="241">
        <v>1543</v>
      </c>
      <c r="F17" s="148"/>
      <c r="G17" s="148"/>
    </row>
    <row r="18" spans="2:7" x14ac:dyDescent="0.3">
      <c r="B18" s="154" t="s">
        <v>720</v>
      </c>
      <c r="C18" s="161" t="s">
        <v>97</v>
      </c>
      <c r="D18" s="241">
        <f>'F3'!D8</f>
        <v>1141</v>
      </c>
      <c r="E18" s="241">
        <v>1141</v>
      </c>
      <c r="F18" s="148"/>
      <c r="G18" s="148"/>
    </row>
    <row r="19" spans="2:7" x14ac:dyDescent="0.3">
      <c r="B19" s="156"/>
      <c r="C19" s="157" t="s">
        <v>98</v>
      </c>
      <c r="D19" s="242">
        <f>SUM(D15:D18)</f>
        <v>3085</v>
      </c>
      <c r="E19" s="242"/>
      <c r="F19" s="148"/>
      <c r="G19" s="148"/>
    </row>
    <row r="20" spans="2:7" x14ac:dyDescent="0.3">
      <c r="B20" s="156"/>
      <c r="C20" s="157"/>
      <c r="D20" s="158"/>
      <c r="E20" s="307"/>
      <c r="F20" s="148"/>
      <c r="G20" s="148"/>
    </row>
    <row r="21" spans="2:7" s="140" customFormat="1" x14ac:dyDescent="0.3">
      <c r="B21" s="162" t="s">
        <v>228</v>
      </c>
      <c r="C21" s="163" t="s">
        <v>722</v>
      </c>
      <c r="D21" s="164">
        <f>SUM(D22:D45)</f>
        <v>186.10221793399998</v>
      </c>
      <c r="E21" s="308"/>
      <c r="F21" s="163"/>
      <c r="G21" s="163"/>
    </row>
    <row r="22" spans="2:7" s="23" customFormat="1" x14ac:dyDescent="0.3">
      <c r="B22" s="165">
        <v>1</v>
      </c>
      <c r="C22" s="166" t="s">
        <v>723</v>
      </c>
      <c r="D22" s="167">
        <f>'[47]Trial balance FY 18-19'!G186/10^7</f>
        <v>152.858156138</v>
      </c>
      <c r="E22" s="168"/>
      <c r="F22" s="168"/>
      <c r="G22" s="168"/>
    </row>
    <row r="23" spans="2:7" s="23" customFormat="1" x14ac:dyDescent="0.3">
      <c r="B23" s="165">
        <f>B22+1</f>
        <v>2</v>
      </c>
      <c r="C23" s="166" t="s">
        <v>724</v>
      </c>
      <c r="D23" s="167">
        <f>'[47]Trial balance FY 18-19'!G187/10^7</f>
        <v>-0.594858</v>
      </c>
      <c r="E23" s="168"/>
      <c r="F23" s="168"/>
      <c r="G23" s="168"/>
    </row>
    <row r="24" spans="2:7" s="23" customFormat="1" x14ac:dyDescent="0.3">
      <c r="B24" s="165">
        <f t="shared" ref="B24:B45" si="0">B23+1</f>
        <v>3</v>
      </c>
      <c r="C24" s="166" t="s">
        <v>725</v>
      </c>
      <c r="D24" s="167">
        <f>'[47]Trial balance FY 18-19'!G188/10^7</f>
        <v>3.5653826999999998</v>
      </c>
      <c r="E24" s="168"/>
      <c r="F24" s="168"/>
      <c r="G24" s="168"/>
    </row>
    <row r="25" spans="2:7" s="23" customFormat="1" x14ac:dyDescent="0.3">
      <c r="B25" s="165">
        <f t="shared" si="0"/>
        <v>4</v>
      </c>
      <c r="C25" s="166" t="s">
        <v>726</v>
      </c>
      <c r="D25" s="167">
        <f>'[47]Trial balance FY 18-19'!G189/10^7</f>
        <v>1.3415790000000001</v>
      </c>
      <c r="E25" s="168"/>
      <c r="F25" s="168"/>
      <c r="G25" s="168"/>
    </row>
    <row r="26" spans="2:7" s="23" customFormat="1" x14ac:dyDescent="0.3">
      <c r="B26" s="165">
        <f t="shared" si="0"/>
        <v>5</v>
      </c>
      <c r="C26" s="166" t="s">
        <v>727</v>
      </c>
      <c r="D26" s="167">
        <f>'[47]Trial balance FY 18-19'!G190/10^7</f>
        <v>5.7654006310000003</v>
      </c>
      <c r="E26" s="168"/>
      <c r="F26" s="168"/>
      <c r="G26" s="168"/>
    </row>
    <row r="27" spans="2:7" s="23" customFormat="1" x14ac:dyDescent="0.3">
      <c r="B27" s="165">
        <f t="shared" si="0"/>
        <v>6</v>
      </c>
      <c r="C27" s="166" t="s">
        <v>728</v>
      </c>
      <c r="D27" s="167"/>
      <c r="E27" s="168"/>
      <c r="F27" s="168"/>
      <c r="G27" s="168"/>
    </row>
    <row r="28" spans="2:7" s="23" customFormat="1" x14ac:dyDescent="0.3">
      <c r="B28" s="165">
        <f t="shared" si="0"/>
        <v>7</v>
      </c>
      <c r="C28" s="166" t="s">
        <v>729</v>
      </c>
      <c r="D28" s="218"/>
      <c r="E28" s="168"/>
      <c r="F28" s="168"/>
      <c r="G28" s="168"/>
    </row>
    <row r="29" spans="2:7" s="23" customFormat="1" x14ac:dyDescent="0.3">
      <c r="B29" s="165">
        <f t="shared" si="0"/>
        <v>8</v>
      </c>
      <c r="C29" s="166" t="s">
        <v>730</v>
      </c>
      <c r="D29" s="167">
        <f>'[47]Trial balance FY 18-19'!$G$192/10^7</f>
        <v>1.5949420000000001</v>
      </c>
      <c r="E29" s="168"/>
      <c r="F29" s="168"/>
      <c r="G29" s="168"/>
    </row>
    <row r="30" spans="2:7" s="23" customFormat="1" x14ac:dyDescent="0.3">
      <c r="B30" s="165">
        <f t="shared" si="0"/>
        <v>9</v>
      </c>
      <c r="C30" s="166" t="s">
        <v>731</v>
      </c>
      <c r="D30" s="167">
        <f>'[47]Trial balance FY 18-19'!G193/10^7</f>
        <v>0.124866001</v>
      </c>
      <c r="E30" s="168"/>
      <c r="F30" s="168"/>
      <c r="G30" s="168"/>
    </row>
    <row r="31" spans="2:7" s="23" customFormat="1" x14ac:dyDescent="0.3">
      <c r="B31" s="165">
        <f t="shared" si="0"/>
        <v>10</v>
      </c>
      <c r="C31" s="166" t="s">
        <v>732</v>
      </c>
      <c r="D31" s="167">
        <f>'[47]Trial balance FY 18-19'!G194/10^7</f>
        <v>3.0012E-5</v>
      </c>
      <c r="E31" s="168"/>
      <c r="F31" s="168"/>
      <c r="G31" s="168"/>
    </row>
    <row r="32" spans="2:7" s="23" customFormat="1" x14ac:dyDescent="0.3">
      <c r="B32" s="165">
        <f t="shared" si="0"/>
        <v>11</v>
      </c>
      <c r="C32" s="166" t="s">
        <v>733</v>
      </c>
      <c r="D32" s="167">
        <f>'[47]Trial balance FY 18-19'!G195/10^7</f>
        <v>14.963581669</v>
      </c>
      <c r="E32" s="168"/>
      <c r="F32" s="168"/>
      <c r="G32" s="168"/>
    </row>
    <row r="33" spans="2:7" s="23" customFormat="1" x14ac:dyDescent="0.3">
      <c r="B33" s="165">
        <f t="shared" si="0"/>
        <v>12</v>
      </c>
      <c r="C33" s="166" t="s">
        <v>734</v>
      </c>
      <c r="D33" s="218">
        <f>'[47]Trial balance FY 18-19'!$G$388/10^7</f>
        <v>7.7709999999999997E-4</v>
      </c>
      <c r="E33" s="168"/>
      <c r="F33" s="168"/>
      <c r="G33" s="168"/>
    </row>
    <row r="34" spans="2:7" s="23" customFormat="1" x14ac:dyDescent="0.3">
      <c r="B34" s="165">
        <f t="shared" si="0"/>
        <v>13</v>
      </c>
      <c r="C34" s="166" t="s">
        <v>735</v>
      </c>
      <c r="D34" s="167">
        <f>'[47]Trial balance FY 18-19'!G196/10^7</f>
        <v>1.485555358</v>
      </c>
      <c r="E34" s="168"/>
      <c r="F34" s="168"/>
      <c r="G34" s="168"/>
    </row>
    <row r="35" spans="2:7" s="23" customFormat="1" x14ac:dyDescent="0.3">
      <c r="B35" s="165">
        <f t="shared" si="0"/>
        <v>14</v>
      </c>
      <c r="C35" s="166" t="s">
        <v>736</v>
      </c>
      <c r="D35" s="167">
        <f>'[47]Trial balance FY 18-19'!G197/10^7</f>
        <v>0.25107699999999999</v>
      </c>
      <c r="E35" s="309"/>
      <c r="F35" s="168"/>
      <c r="G35" s="168"/>
    </row>
    <row r="36" spans="2:7" s="23" customFormat="1" x14ac:dyDescent="0.3">
      <c r="B36" s="165">
        <f t="shared" si="0"/>
        <v>15</v>
      </c>
      <c r="C36" s="166" t="s">
        <v>737</v>
      </c>
      <c r="D36" s="167"/>
      <c r="E36" s="168"/>
      <c r="F36" s="168"/>
      <c r="G36" s="168"/>
    </row>
    <row r="37" spans="2:7" s="23" customFormat="1" x14ac:dyDescent="0.3">
      <c r="B37" s="165">
        <f t="shared" si="0"/>
        <v>16</v>
      </c>
      <c r="C37" s="166" t="s">
        <v>738</v>
      </c>
      <c r="D37" s="167">
        <f>'[47]Trial balance FY 18-19'!$G$198/10^7</f>
        <v>0.121652512</v>
      </c>
      <c r="E37" s="168"/>
      <c r="F37" s="168"/>
      <c r="G37" s="168"/>
    </row>
    <row r="38" spans="2:7" s="23" customFormat="1" x14ac:dyDescent="0.3">
      <c r="B38" s="165">
        <f t="shared" si="0"/>
        <v>17</v>
      </c>
      <c r="C38" s="166" t="s">
        <v>739</v>
      </c>
      <c r="D38" s="167">
        <f>'[47]Trial balance FY 18-19'!$G$199/10^7</f>
        <v>0.233849</v>
      </c>
      <c r="E38" s="168"/>
      <c r="F38" s="168"/>
      <c r="G38" s="168"/>
    </row>
    <row r="39" spans="2:7" s="23" customFormat="1" ht="15" customHeight="1" x14ac:dyDescent="0.3">
      <c r="B39" s="165">
        <f t="shared" si="0"/>
        <v>18</v>
      </c>
      <c r="C39" s="166" t="s">
        <v>740</v>
      </c>
      <c r="D39" s="167">
        <f>'[47]Trial balance FY 18-19'!G200/10^7</f>
        <v>2.28096568</v>
      </c>
      <c r="E39" s="168"/>
      <c r="F39" s="168"/>
      <c r="G39" s="168"/>
    </row>
    <row r="40" spans="2:7" s="23" customFormat="1" x14ac:dyDescent="0.3">
      <c r="B40" s="165">
        <f t="shared" si="0"/>
        <v>19</v>
      </c>
      <c r="C40" s="166" t="s">
        <v>741</v>
      </c>
      <c r="D40" s="167">
        <f>'[47]Trial balance FY 18-19'!G201/10^7</f>
        <v>0.84050939999999996</v>
      </c>
      <c r="E40" s="168"/>
      <c r="F40" s="168"/>
      <c r="G40" s="168"/>
    </row>
    <row r="41" spans="2:7" s="23" customFormat="1" x14ac:dyDescent="0.3">
      <c r="B41" s="165">
        <f t="shared" si="0"/>
        <v>20</v>
      </c>
      <c r="C41" s="166" t="s">
        <v>742</v>
      </c>
      <c r="D41" s="167">
        <f>'[47]Trial balance FY 18-19'!G202/10^7</f>
        <v>4.4480000000000002E-4</v>
      </c>
      <c r="E41" s="168"/>
      <c r="F41" s="168"/>
      <c r="G41" s="168"/>
    </row>
    <row r="42" spans="2:7" s="23" customFormat="1" x14ac:dyDescent="0.3">
      <c r="B42" s="165">
        <f t="shared" si="0"/>
        <v>21</v>
      </c>
      <c r="C42" s="166" t="s">
        <v>743</v>
      </c>
      <c r="D42" s="167">
        <f>'[47]Trial balance FY 18-19'!$G$203/10^7</f>
        <v>1.1832990999999999</v>
      </c>
      <c r="E42" s="168"/>
      <c r="F42" s="168"/>
      <c r="G42" s="168"/>
    </row>
    <row r="43" spans="2:7" s="23" customFormat="1" x14ac:dyDescent="0.3">
      <c r="B43" s="165">
        <f t="shared" si="0"/>
        <v>22</v>
      </c>
      <c r="C43" s="166" t="s">
        <v>744</v>
      </c>
      <c r="D43" s="167">
        <f>'[47]Trial balance FY 18-19'!$G$254/10^7</f>
        <v>2.9514732999999994E-2</v>
      </c>
      <c r="E43" s="168"/>
      <c r="F43" s="168"/>
      <c r="G43" s="168"/>
    </row>
    <row r="44" spans="2:7" s="23" customFormat="1" x14ac:dyDescent="0.3">
      <c r="B44" s="165">
        <f t="shared" si="0"/>
        <v>23</v>
      </c>
      <c r="C44" s="166" t="s">
        <v>745</v>
      </c>
      <c r="D44" s="167">
        <f>'[47]Trial balance FY 18-19'!$G$389/10^7</f>
        <v>4.1463100000000003E-2</v>
      </c>
      <c r="E44" s="168"/>
      <c r="F44" s="168"/>
      <c r="G44" s="168"/>
    </row>
    <row r="45" spans="2:7" s="23" customFormat="1" x14ac:dyDescent="0.3">
      <c r="B45" s="165">
        <f t="shared" si="0"/>
        <v>24</v>
      </c>
      <c r="C45" s="166" t="s">
        <v>746</v>
      </c>
      <c r="D45" s="167">
        <f>'[47]Trial balance FY 18-19'!$G$390/10^7</f>
        <v>1.4030000000000001E-2</v>
      </c>
      <c r="E45" s="168"/>
      <c r="F45" s="168"/>
      <c r="G45" s="168"/>
    </row>
    <row r="46" spans="2:7" s="140" customFormat="1" x14ac:dyDescent="0.3">
      <c r="B46" s="162" t="s">
        <v>229</v>
      </c>
      <c r="C46" s="163" t="s">
        <v>747</v>
      </c>
      <c r="D46" s="164">
        <f>SUM(D47:D50)</f>
        <v>1.5435270349999999</v>
      </c>
      <c r="E46" s="163"/>
      <c r="F46" s="163"/>
      <c r="G46" s="163"/>
    </row>
    <row r="47" spans="2:7" s="23" customFormat="1" x14ac:dyDescent="0.3">
      <c r="B47" s="165">
        <v>1</v>
      </c>
      <c r="C47" s="168" t="s">
        <v>748</v>
      </c>
      <c r="D47" s="218">
        <f>'[47]Trial balance FY 18-19'!$G$213/10^7</f>
        <v>2.5000000000000001E-3</v>
      </c>
      <c r="E47" s="168"/>
      <c r="F47" s="168"/>
      <c r="G47" s="168"/>
    </row>
    <row r="48" spans="2:7" s="23" customFormat="1" x14ac:dyDescent="0.3">
      <c r="B48" s="165">
        <f>B47+1</f>
        <v>2</v>
      </c>
      <c r="C48" s="168" t="s">
        <v>749</v>
      </c>
      <c r="D48" s="218">
        <f>'[47]Trial balance FY 18-19'!$G$214/10^7</f>
        <v>4.4848800000000001E-2</v>
      </c>
      <c r="E48" s="168"/>
      <c r="F48" s="168"/>
      <c r="G48" s="168"/>
    </row>
    <row r="49" spans="2:7" s="23" customFormat="1" x14ac:dyDescent="0.3">
      <c r="B49" s="165">
        <f>B48+1</f>
        <v>3</v>
      </c>
      <c r="C49" s="168" t="s">
        <v>750</v>
      </c>
      <c r="D49" s="167">
        <f>'[47]Trial balance FY 18-19'!$G$215/10^7</f>
        <v>0</v>
      </c>
      <c r="E49" s="168"/>
      <c r="F49" s="168"/>
      <c r="G49" s="168"/>
    </row>
    <row r="50" spans="2:7" s="23" customFormat="1" x14ac:dyDescent="0.3">
      <c r="B50" s="165">
        <f>B49+1</f>
        <v>4</v>
      </c>
      <c r="C50" s="168" t="s">
        <v>751</v>
      </c>
      <c r="D50" s="167">
        <f>'[47]Trial balance FY 18-19'!$G$216/10^7</f>
        <v>1.4961782349999999</v>
      </c>
      <c r="E50" s="168"/>
      <c r="F50" s="168"/>
      <c r="G50" s="168"/>
    </row>
    <row r="51" spans="2:7" s="140" customFormat="1" x14ac:dyDescent="0.3">
      <c r="B51" s="162" t="s">
        <v>369</v>
      </c>
      <c r="C51" s="163" t="s">
        <v>752</v>
      </c>
      <c r="D51" s="164">
        <f>SUM(D52:D60)</f>
        <v>2.008638092</v>
      </c>
      <c r="E51" s="163"/>
      <c r="F51" s="163"/>
      <c r="G51" s="163"/>
    </row>
    <row r="52" spans="2:7" s="23" customFormat="1" x14ac:dyDescent="0.3">
      <c r="B52" s="165">
        <v>1</v>
      </c>
      <c r="C52" s="166" t="s">
        <v>753</v>
      </c>
      <c r="D52" s="167">
        <f>'[47]Trial balance FY 18-19'!$G$209/10^7</f>
        <v>0.1337931</v>
      </c>
      <c r="E52" s="168"/>
      <c r="F52" s="168"/>
      <c r="G52" s="168"/>
    </row>
    <row r="53" spans="2:7" s="23" customFormat="1" x14ac:dyDescent="0.3">
      <c r="B53" s="165">
        <f>B52+1</f>
        <v>2</v>
      </c>
      <c r="C53" s="166" t="s">
        <v>754</v>
      </c>
      <c r="D53" s="167">
        <f>'[47]Trial balance FY 18-19'!G211/10^7</f>
        <v>1.1290986999999999</v>
      </c>
      <c r="E53" s="168"/>
      <c r="F53" s="168"/>
      <c r="G53" s="168"/>
    </row>
    <row r="54" spans="2:7" s="23" customFormat="1" x14ac:dyDescent="0.3">
      <c r="B54" s="165">
        <f t="shared" ref="B54:B60" si="1">B53+1</f>
        <v>3</v>
      </c>
      <c r="C54" s="166" t="s">
        <v>755</v>
      </c>
      <c r="D54" s="167">
        <f>'[47]Trial balance FY 18-19'!G212/10^7</f>
        <v>2.6731516000000004E-2</v>
      </c>
      <c r="E54" s="168"/>
      <c r="F54" s="168"/>
      <c r="G54" s="168"/>
    </row>
    <row r="55" spans="2:7" s="23" customFormat="1" x14ac:dyDescent="0.3">
      <c r="B55" s="165">
        <f t="shared" si="1"/>
        <v>4</v>
      </c>
      <c r="C55" s="166" t="s">
        <v>756</v>
      </c>
      <c r="D55" s="167">
        <f>'[47]Trial balance FY 18-19'!G217/10^7</f>
        <v>0.44084698300000003</v>
      </c>
      <c r="E55" s="168"/>
      <c r="F55" s="168"/>
      <c r="G55" s="168"/>
    </row>
    <row r="56" spans="2:7" s="23" customFormat="1" x14ac:dyDescent="0.3">
      <c r="B56" s="165">
        <f t="shared" si="1"/>
        <v>5</v>
      </c>
      <c r="C56" s="166" t="s">
        <v>757</v>
      </c>
      <c r="D56" s="167">
        <f>'[47]Trial balance FY 18-19'!G218/10^7</f>
        <v>7.1894193000000009E-2</v>
      </c>
      <c r="E56" s="168"/>
      <c r="F56" s="168"/>
      <c r="G56" s="168"/>
    </row>
    <row r="57" spans="2:7" s="23" customFormat="1" x14ac:dyDescent="0.3">
      <c r="B57" s="165">
        <f t="shared" si="1"/>
        <v>6</v>
      </c>
      <c r="C57" s="166" t="s">
        <v>758</v>
      </c>
      <c r="D57" s="167">
        <f>'[47]Trial balance FY 18-19'!G219/10^7</f>
        <v>2.8894900000000001E-2</v>
      </c>
      <c r="E57" s="168"/>
      <c r="F57" s="168"/>
      <c r="G57" s="168"/>
    </row>
    <row r="58" spans="2:7" s="23" customFormat="1" x14ac:dyDescent="0.3">
      <c r="B58" s="165">
        <f t="shared" si="1"/>
        <v>7</v>
      </c>
      <c r="C58" s="166" t="s">
        <v>759</v>
      </c>
      <c r="D58" s="167">
        <f>'[47]Trial balance FY 18-19'!$G$220/10^7</f>
        <v>0.17851449999999999</v>
      </c>
      <c r="E58" s="168"/>
      <c r="F58" s="168"/>
      <c r="G58" s="168"/>
    </row>
    <row r="59" spans="2:7" s="23" customFormat="1" x14ac:dyDescent="0.3">
      <c r="B59" s="165">
        <f t="shared" si="1"/>
        <v>8</v>
      </c>
      <c r="C59" s="166" t="s">
        <v>760</v>
      </c>
      <c r="D59" s="167">
        <f>'[47]Trial balance FY 18-19'!$G$221/10^7</f>
        <v>3.6900000000000002E-4</v>
      </c>
      <c r="E59" s="168"/>
      <c r="F59" s="168"/>
      <c r="G59" s="168"/>
    </row>
    <row r="60" spans="2:7" s="23" customFormat="1" x14ac:dyDescent="0.3">
      <c r="B60" s="165">
        <f t="shared" si="1"/>
        <v>9</v>
      </c>
      <c r="C60" s="166" t="s">
        <v>761</v>
      </c>
      <c r="D60" s="167">
        <f>'[47]Trial balance FY 18-19'!$G$263/10^7</f>
        <v>-1.5047999999999999E-3</v>
      </c>
      <c r="E60" s="168"/>
      <c r="F60" s="168"/>
      <c r="G60" s="168"/>
    </row>
    <row r="61" spans="2:7" s="23" customFormat="1" x14ac:dyDescent="0.3">
      <c r="B61" s="162" t="s">
        <v>233</v>
      </c>
      <c r="C61" s="163" t="s">
        <v>762</v>
      </c>
      <c r="D61" s="164">
        <f>'[47]Trial balance FY 18-19'!$G$191/10^7</f>
        <v>-0.79428030000000005</v>
      </c>
      <c r="E61" s="310">
        <f>D21+D61</f>
        <v>185.30793763399998</v>
      </c>
      <c r="F61" s="168"/>
      <c r="G61" s="168"/>
    </row>
    <row r="62" spans="2:7" s="23" customFormat="1" x14ac:dyDescent="0.3">
      <c r="B62" s="162" t="s">
        <v>235</v>
      </c>
      <c r="C62" s="163" t="s">
        <v>763</v>
      </c>
      <c r="D62" s="169">
        <f>'[22]35. employee benefit exp'!$F$11/10^7</f>
        <v>25.035122299999998</v>
      </c>
      <c r="E62" s="168"/>
      <c r="F62" s="168"/>
      <c r="G62" s="168"/>
    </row>
    <row r="63" spans="2:7" s="140" customFormat="1" x14ac:dyDescent="0.3">
      <c r="B63" s="162" t="s">
        <v>764</v>
      </c>
      <c r="C63" s="163" t="s">
        <v>765</v>
      </c>
      <c r="D63" s="164"/>
      <c r="E63" s="163"/>
      <c r="F63" s="163"/>
      <c r="G63" s="163"/>
    </row>
    <row r="64" spans="2:7" s="23" customFormat="1" x14ac:dyDescent="0.3">
      <c r="B64" s="165">
        <v>1</v>
      </c>
      <c r="C64" s="166" t="s">
        <v>766</v>
      </c>
      <c r="D64" s="167"/>
      <c r="E64" s="168"/>
      <c r="F64" s="168"/>
      <c r="G64" s="168"/>
    </row>
    <row r="65" spans="2:7" s="23" customFormat="1" x14ac:dyDescent="0.3">
      <c r="B65" s="165">
        <v>2</v>
      </c>
      <c r="C65" s="166" t="s">
        <v>767</v>
      </c>
      <c r="D65" s="167"/>
      <c r="E65" s="168"/>
      <c r="F65" s="168"/>
      <c r="G65" s="168"/>
    </row>
    <row r="66" spans="2:7" s="23" customFormat="1" x14ac:dyDescent="0.3">
      <c r="B66" s="165">
        <v>3</v>
      </c>
      <c r="C66" s="166" t="s">
        <v>768</v>
      </c>
      <c r="D66" s="167"/>
      <c r="E66" s="168"/>
      <c r="F66" s="168"/>
      <c r="G66" s="168"/>
    </row>
    <row r="67" spans="2:7" s="23" customFormat="1" x14ac:dyDescent="0.3">
      <c r="B67" s="162" t="s">
        <v>769</v>
      </c>
      <c r="C67" s="163" t="s">
        <v>770</v>
      </c>
      <c r="D67" s="164">
        <f>SUM(D68:D74)</f>
        <v>3.9618554100000005</v>
      </c>
      <c r="E67" s="168"/>
      <c r="F67" s="168"/>
      <c r="G67" s="168"/>
    </row>
    <row r="68" spans="2:7" s="23" customFormat="1" x14ac:dyDescent="0.3">
      <c r="B68" s="165">
        <v>1</v>
      </c>
      <c r="C68" s="166" t="s">
        <v>771</v>
      </c>
      <c r="D68" s="167">
        <f>'[47]Trial balance FY 18-19'!$G$206/10^7</f>
        <v>3.8987477500000001</v>
      </c>
      <c r="E68" s="168"/>
      <c r="F68" s="168"/>
      <c r="G68" s="168"/>
    </row>
    <row r="69" spans="2:7" s="23" customFormat="1" x14ac:dyDescent="0.3">
      <c r="B69" s="165">
        <v>2</v>
      </c>
      <c r="C69" s="166" t="s">
        <v>772</v>
      </c>
      <c r="D69" s="167">
        <f>'[47]Trial balance FY 18-19'!$G$392/10^7</f>
        <v>2.5398353999999998E-2</v>
      </c>
      <c r="E69" s="168"/>
      <c r="F69" s="168"/>
      <c r="G69" s="168"/>
    </row>
    <row r="70" spans="2:7" s="23" customFormat="1" x14ac:dyDescent="0.3">
      <c r="B70" s="165">
        <v>3</v>
      </c>
      <c r="C70" s="166" t="s">
        <v>773</v>
      </c>
      <c r="D70" s="167">
        <f>'[47]Trial balance FY 18-19'!$G$208/10^7</f>
        <v>2.2000000000000001E-4</v>
      </c>
      <c r="E70" s="168"/>
      <c r="F70" s="168"/>
      <c r="G70" s="168"/>
    </row>
    <row r="71" spans="2:7" s="23" customFormat="1" x14ac:dyDescent="0.3">
      <c r="B71" s="165">
        <v>4</v>
      </c>
      <c r="C71" s="166" t="s">
        <v>774</v>
      </c>
      <c r="D71" s="167">
        <f>'[47]Trial balance FY 18-19'!$G$393/10^7</f>
        <v>1.7476900000000001E-3</v>
      </c>
      <c r="E71" s="168"/>
      <c r="F71" s="168"/>
      <c r="G71" s="168"/>
    </row>
    <row r="72" spans="2:7" s="23" customFormat="1" x14ac:dyDescent="0.3">
      <c r="B72" s="165">
        <v>5</v>
      </c>
      <c r="C72" s="166" t="s">
        <v>775</v>
      </c>
      <c r="D72" s="167">
        <f>'[47]Trial balance FY 18-19'!G394/10^7</f>
        <v>1.7124799999999999E-2</v>
      </c>
      <c r="E72" s="168"/>
      <c r="F72" s="168"/>
      <c r="G72" s="168"/>
    </row>
    <row r="73" spans="2:7" s="23" customFormat="1" x14ac:dyDescent="0.3">
      <c r="B73" s="165">
        <v>6</v>
      </c>
      <c r="C73" s="166" t="s">
        <v>776</v>
      </c>
      <c r="D73" s="167">
        <f>'[47]Trial balance FY 18-19'!G395/10^7</f>
        <v>1.7476900000000001E-3</v>
      </c>
      <c r="E73" s="168"/>
      <c r="F73" s="168"/>
      <c r="G73" s="168"/>
    </row>
    <row r="74" spans="2:7" s="23" customFormat="1" x14ac:dyDescent="0.3">
      <c r="B74" s="165">
        <v>7</v>
      </c>
      <c r="C74" s="166" t="s">
        <v>777</v>
      </c>
      <c r="D74" s="167">
        <f>'[47]Trial balance FY 18-19'!G396/10^7</f>
        <v>1.6869126000000002E-2</v>
      </c>
      <c r="E74" s="168"/>
      <c r="F74" s="168"/>
      <c r="G74" s="168"/>
    </row>
    <row r="75" spans="2:7" s="140" customFormat="1" x14ac:dyDescent="0.3">
      <c r="B75" s="162" t="s">
        <v>778</v>
      </c>
      <c r="C75" s="163" t="s">
        <v>106</v>
      </c>
      <c r="D75" s="170">
        <f>SUM(D21,D46,D51,D61,D62,D63,D67)</f>
        <v>217.85708047100002</v>
      </c>
      <c r="E75" s="308"/>
      <c r="F75" s="163"/>
      <c r="G75" s="163"/>
    </row>
    <row r="76" spans="2:7" s="140" customFormat="1" x14ac:dyDescent="0.3">
      <c r="B76" s="162" t="s">
        <v>718</v>
      </c>
      <c r="C76" s="163" t="s">
        <v>779</v>
      </c>
      <c r="D76" s="164">
        <f>'[47]Trial balance FY 18-19'!$G$222/10^7</f>
        <v>-13.363658649999998</v>
      </c>
      <c r="E76" s="163"/>
      <c r="F76" s="163"/>
      <c r="G76" s="163"/>
    </row>
    <row r="77" spans="2:7" s="23" customFormat="1" x14ac:dyDescent="0.3">
      <c r="B77" s="165"/>
      <c r="C77" s="168"/>
      <c r="D77" s="167"/>
      <c r="E77" s="168"/>
      <c r="F77" s="168"/>
      <c r="G77" s="168"/>
    </row>
    <row r="78" spans="2:7" s="140" customFormat="1" x14ac:dyDescent="0.3">
      <c r="B78" s="162" t="s">
        <v>780</v>
      </c>
      <c r="C78" s="163" t="s">
        <v>115</v>
      </c>
      <c r="D78" s="164">
        <f>D75+D76</f>
        <v>204.49342182100003</v>
      </c>
      <c r="E78" s="163"/>
      <c r="F78" s="163"/>
      <c r="G78" s="163"/>
    </row>
    <row r="79" spans="2:7" x14ac:dyDescent="0.3">
      <c r="B79" s="439"/>
      <c r="D79" s="21"/>
      <c r="E79" s="440"/>
      <c r="F79" s="148"/>
      <c r="G79" s="148"/>
    </row>
    <row r="80" spans="2:7" x14ac:dyDescent="0.3">
      <c r="B80" s="439"/>
      <c r="D80" s="284"/>
      <c r="E80" s="440"/>
      <c r="F80" s="307"/>
      <c r="G80" s="148"/>
    </row>
    <row r="81" spans="2:9" x14ac:dyDescent="0.3">
      <c r="B81" s="441"/>
      <c r="C81" s="442" t="s">
        <v>781</v>
      </c>
      <c r="D81" s="443">
        <f>'[22]35. employee benefit exp'!$F$8/10^7+'[22]35. employee benefit exp'!$F$9/10^7+'[22]35. employee benefit exp'!$F$15/10^7+'[22]35. employee benefit exp'!$F$16/10^7+'[22]35. employee benefit exp'!$F$17/10^7+'[22]35. employee benefit exp'!$F$11/10^7</f>
        <v>204.49342182099997</v>
      </c>
      <c r="E81" s="444"/>
      <c r="F81" s="307"/>
      <c r="G81" s="148"/>
    </row>
    <row r="82" spans="2:9" x14ac:dyDescent="0.3">
      <c r="D82" s="10"/>
      <c r="F82" s="139">
        <f>F80-F81</f>
        <v>0</v>
      </c>
      <c r="G82" s="51"/>
      <c r="H82" s="51"/>
    </row>
    <row r="83" spans="2:9" x14ac:dyDescent="0.3">
      <c r="D83" s="10"/>
      <c r="H83" s="203"/>
      <c r="I83" s="172"/>
    </row>
    <row r="84" spans="2:9" x14ac:dyDescent="0.3">
      <c r="D84" s="10"/>
    </row>
    <row r="85" spans="2:9" x14ac:dyDescent="0.3">
      <c r="D85" s="10"/>
    </row>
    <row r="86" spans="2:9" x14ac:dyDescent="0.3">
      <c r="D86" s="10"/>
    </row>
    <row r="87" spans="2:9" x14ac:dyDescent="0.3">
      <c r="D87" s="10"/>
    </row>
    <row r="88" spans="2:9" x14ac:dyDescent="0.3">
      <c r="D88" s="10"/>
    </row>
    <row r="89" spans="2:9" x14ac:dyDescent="0.3">
      <c r="D89" s="10"/>
    </row>
    <row r="90" spans="2:9" x14ac:dyDescent="0.3">
      <c r="D90" s="10"/>
    </row>
    <row r="91" spans="2:9" x14ac:dyDescent="0.3">
      <c r="D91" s="10"/>
    </row>
    <row r="92" spans="2:9" x14ac:dyDescent="0.3">
      <c r="D92" s="10"/>
    </row>
    <row r="93" spans="2:9" x14ac:dyDescent="0.3">
      <c r="D93" s="10"/>
    </row>
    <row r="94" spans="2:9" x14ac:dyDescent="0.3">
      <c r="D94" s="10"/>
    </row>
    <row r="95" spans="2:9" x14ac:dyDescent="0.3">
      <c r="D95" s="10"/>
    </row>
    <row r="96" spans="2:9" x14ac:dyDescent="0.3">
      <c r="D96" s="10"/>
    </row>
    <row r="97" spans="4:4" x14ac:dyDescent="0.3">
      <c r="D97" s="10"/>
    </row>
    <row r="98" spans="4:4" x14ac:dyDescent="0.3">
      <c r="D98" s="10"/>
    </row>
    <row r="99" spans="4:4" x14ac:dyDescent="0.3">
      <c r="D99" s="10"/>
    </row>
    <row r="100" spans="4:4" x14ac:dyDescent="0.3">
      <c r="D100" s="10"/>
    </row>
    <row r="101" spans="4:4" x14ac:dyDescent="0.3">
      <c r="D101" s="10"/>
    </row>
    <row r="102" spans="4:4" x14ac:dyDescent="0.3">
      <c r="D102" s="10"/>
    </row>
    <row r="103" spans="4:4" x14ac:dyDescent="0.3">
      <c r="D103" s="10"/>
    </row>
    <row r="104" spans="4:4" x14ac:dyDescent="0.3">
      <c r="D104" s="10"/>
    </row>
    <row r="105" spans="4:4" x14ac:dyDescent="0.3">
      <c r="D105" s="10"/>
    </row>
    <row r="106" spans="4:4" x14ac:dyDescent="0.3">
      <c r="D106" s="10"/>
    </row>
    <row r="107" spans="4:4" x14ac:dyDescent="0.3">
      <c r="D107" s="10"/>
    </row>
    <row r="108" spans="4:4" x14ac:dyDescent="0.3">
      <c r="D108" s="10"/>
    </row>
    <row r="109" spans="4:4" x14ac:dyDescent="0.3">
      <c r="D109" s="10"/>
    </row>
    <row r="110" spans="4:4" x14ac:dyDescent="0.3">
      <c r="D110" s="10"/>
    </row>
    <row r="111" spans="4:4" x14ac:dyDescent="0.3">
      <c r="D111" s="10"/>
    </row>
    <row r="112" spans="4:4" x14ac:dyDescent="0.3">
      <c r="D112" s="10"/>
    </row>
    <row r="113" spans="4:4" x14ac:dyDescent="0.3">
      <c r="D113" s="10"/>
    </row>
    <row r="114" spans="4:4" x14ac:dyDescent="0.3">
      <c r="D114" s="10"/>
    </row>
    <row r="115" spans="4:4" x14ac:dyDescent="0.3">
      <c r="D115" s="10"/>
    </row>
    <row r="116" spans="4:4" x14ac:dyDescent="0.3">
      <c r="D116" s="10"/>
    </row>
    <row r="117" spans="4:4" x14ac:dyDescent="0.3">
      <c r="D117" s="10"/>
    </row>
    <row r="118" spans="4:4" x14ac:dyDescent="0.3">
      <c r="D118" s="10"/>
    </row>
    <row r="119" spans="4:4" x14ac:dyDescent="0.3">
      <c r="D119" s="10"/>
    </row>
    <row r="120" spans="4:4" x14ac:dyDescent="0.3">
      <c r="D120" s="10"/>
    </row>
    <row r="121" spans="4:4" x14ac:dyDescent="0.3">
      <c r="D121" s="10"/>
    </row>
    <row r="122" spans="4:4" x14ac:dyDescent="0.3">
      <c r="D122" s="10"/>
    </row>
    <row r="123" spans="4:4" x14ac:dyDescent="0.3">
      <c r="D123" s="10"/>
    </row>
    <row r="124" spans="4:4" x14ac:dyDescent="0.3">
      <c r="D124" s="10"/>
    </row>
    <row r="125" spans="4:4" x14ac:dyDescent="0.3">
      <c r="D125" s="10"/>
    </row>
    <row r="126" spans="4:4" x14ac:dyDescent="0.3">
      <c r="D126" s="10"/>
    </row>
    <row r="127" spans="4:4" x14ac:dyDescent="0.3">
      <c r="D127" s="10"/>
    </row>
    <row r="128" spans="4:4" x14ac:dyDescent="0.3">
      <c r="D128" s="10"/>
    </row>
    <row r="129" spans="4:4" x14ac:dyDescent="0.3">
      <c r="D129" s="10"/>
    </row>
    <row r="130" spans="4:4" x14ac:dyDescent="0.3">
      <c r="D130" s="10"/>
    </row>
    <row r="131" spans="4:4" x14ac:dyDescent="0.3">
      <c r="D131" s="10"/>
    </row>
    <row r="132" spans="4:4" x14ac:dyDescent="0.3">
      <c r="D132" s="10"/>
    </row>
    <row r="133" spans="4:4" x14ac:dyDescent="0.3">
      <c r="D133" s="10"/>
    </row>
    <row r="134" spans="4:4" x14ac:dyDescent="0.3">
      <c r="D134" s="10"/>
    </row>
    <row r="135" spans="4:4" x14ac:dyDescent="0.3">
      <c r="D135" s="10"/>
    </row>
    <row r="136" spans="4:4" x14ac:dyDescent="0.3">
      <c r="D136" s="10"/>
    </row>
    <row r="137" spans="4:4" x14ac:dyDescent="0.3">
      <c r="D137" s="10"/>
    </row>
    <row r="138" spans="4:4" x14ac:dyDescent="0.3">
      <c r="D138" s="10"/>
    </row>
    <row r="139" spans="4:4" x14ac:dyDescent="0.3">
      <c r="D139" s="10"/>
    </row>
    <row r="140" spans="4:4" x14ac:dyDescent="0.3">
      <c r="D140" s="10"/>
    </row>
    <row r="141" spans="4:4" x14ac:dyDescent="0.3">
      <c r="D141" s="10"/>
    </row>
    <row r="142" spans="4:4" x14ac:dyDescent="0.3">
      <c r="D142" s="10"/>
    </row>
    <row r="143" spans="4:4" x14ac:dyDescent="0.3">
      <c r="D143" s="10"/>
    </row>
    <row r="144" spans="4:4" x14ac:dyDescent="0.3">
      <c r="D144" s="10"/>
    </row>
    <row r="145" spans="4:4" x14ac:dyDescent="0.3">
      <c r="D145" s="10"/>
    </row>
    <row r="146" spans="4:4" x14ac:dyDescent="0.3">
      <c r="D146" s="10"/>
    </row>
    <row r="147" spans="4:4" x14ac:dyDescent="0.3">
      <c r="D147" s="10"/>
    </row>
    <row r="148" spans="4:4" x14ac:dyDescent="0.3">
      <c r="D148" s="10"/>
    </row>
    <row r="149" spans="4:4" x14ac:dyDescent="0.3">
      <c r="D149" s="10"/>
    </row>
    <row r="150" spans="4:4" x14ac:dyDescent="0.3">
      <c r="D150" s="10"/>
    </row>
    <row r="151" spans="4:4" x14ac:dyDescent="0.3">
      <c r="D151" s="10"/>
    </row>
    <row r="152" spans="4:4" x14ac:dyDescent="0.3">
      <c r="D152" s="10"/>
    </row>
    <row r="153" spans="4:4" x14ac:dyDescent="0.3">
      <c r="D153" s="10"/>
    </row>
    <row r="154" spans="4:4" x14ac:dyDescent="0.3">
      <c r="D154" s="10"/>
    </row>
    <row r="155" spans="4:4" x14ac:dyDescent="0.3">
      <c r="D155" s="10"/>
    </row>
    <row r="156" spans="4:4" x14ac:dyDescent="0.3">
      <c r="D156" s="10"/>
    </row>
    <row r="157" spans="4:4" x14ac:dyDescent="0.3">
      <c r="D157" s="10"/>
    </row>
    <row r="158" spans="4:4" x14ac:dyDescent="0.3">
      <c r="D158" s="10"/>
    </row>
    <row r="159" spans="4:4" x14ac:dyDescent="0.3">
      <c r="D159" s="10"/>
    </row>
    <row r="160" spans="4:4" x14ac:dyDescent="0.3">
      <c r="D160" s="10"/>
    </row>
    <row r="161" spans="4:4" x14ac:dyDescent="0.3">
      <c r="D161" s="10"/>
    </row>
    <row r="162" spans="4:4" x14ac:dyDescent="0.3">
      <c r="D162" s="10"/>
    </row>
    <row r="163" spans="4:4" x14ac:dyDescent="0.3">
      <c r="D163" s="10"/>
    </row>
    <row r="164" spans="4:4" x14ac:dyDescent="0.3">
      <c r="D164" s="10"/>
    </row>
    <row r="165" spans="4:4" x14ac:dyDescent="0.3">
      <c r="D165" s="10"/>
    </row>
    <row r="166" spans="4:4" x14ac:dyDescent="0.3">
      <c r="D166" s="10"/>
    </row>
    <row r="167" spans="4:4" x14ac:dyDescent="0.3">
      <c r="D167" s="10"/>
    </row>
    <row r="168" spans="4:4" x14ac:dyDescent="0.3">
      <c r="D168" s="10"/>
    </row>
    <row r="169" spans="4:4" x14ac:dyDescent="0.3">
      <c r="D169" s="10"/>
    </row>
    <row r="170" spans="4:4" x14ac:dyDescent="0.3">
      <c r="D170" s="10"/>
    </row>
    <row r="171" spans="4:4" x14ac:dyDescent="0.3">
      <c r="D171" s="10"/>
    </row>
    <row r="172" spans="4:4" x14ac:dyDescent="0.3">
      <c r="D172" s="10"/>
    </row>
    <row r="173" spans="4:4" x14ac:dyDescent="0.3">
      <c r="D173" s="10"/>
    </row>
    <row r="174" spans="4:4" x14ac:dyDescent="0.3">
      <c r="D174" s="10"/>
    </row>
    <row r="175" spans="4:4" x14ac:dyDescent="0.3">
      <c r="D175" s="10"/>
    </row>
    <row r="176" spans="4:4" x14ac:dyDescent="0.3">
      <c r="D176" s="10"/>
    </row>
    <row r="177" spans="4:4" x14ac:dyDescent="0.3">
      <c r="D177" s="10"/>
    </row>
    <row r="178" spans="4:4" x14ac:dyDescent="0.3">
      <c r="D178" s="10"/>
    </row>
    <row r="179" spans="4:4" x14ac:dyDescent="0.3">
      <c r="D179" s="10"/>
    </row>
    <row r="180" spans="4:4" x14ac:dyDescent="0.3">
      <c r="D180" s="10"/>
    </row>
    <row r="181" spans="4:4" x14ac:dyDescent="0.3">
      <c r="D181" s="10"/>
    </row>
    <row r="182" spans="4:4" x14ac:dyDescent="0.3">
      <c r="D182" s="10"/>
    </row>
    <row r="183" spans="4:4" x14ac:dyDescent="0.3">
      <c r="D183" s="10"/>
    </row>
    <row r="184" spans="4:4" x14ac:dyDescent="0.3">
      <c r="D184" s="10"/>
    </row>
    <row r="185" spans="4:4" x14ac:dyDescent="0.3">
      <c r="D185" s="10"/>
    </row>
    <row r="186" spans="4:4" x14ac:dyDescent="0.3">
      <c r="D186" s="10"/>
    </row>
    <row r="187" spans="4:4" x14ac:dyDescent="0.3">
      <c r="D187" s="10"/>
    </row>
    <row r="188" spans="4:4" x14ac:dyDescent="0.3">
      <c r="D188" s="10"/>
    </row>
    <row r="189" spans="4:4" x14ac:dyDescent="0.3">
      <c r="D189" s="10"/>
    </row>
    <row r="190" spans="4:4" x14ac:dyDescent="0.3">
      <c r="D190" s="10"/>
    </row>
    <row r="191" spans="4:4" x14ac:dyDescent="0.3">
      <c r="D191" s="10"/>
    </row>
    <row r="192" spans="4:4" x14ac:dyDescent="0.3">
      <c r="D192" s="10"/>
    </row>
    <row r="193" spans="4:4" x14ac:dyDescent="0.3">
      <c r="D193" s="10"/>
    </row>
    <row r="194" spans="4:4" x14ac:dyDescent="0.3">
      <c r="D194" s="10"/>
    </row>
    <row r="195" spans="4:4" x14ac:dyDescent="0.3">
      <c r="D195" s="10"/>
    </row>
    <row r="196" spans="4:4" x14ac:dyDescent="0.3">
      <c r="D196" s="10"/>
    </row>
    <row r="197" spans="4:4" x14ac:dyDescent="0.3">
      <c r="D197" s="10"/>
    </row>
    <row r="198" spans="4:4" x14ac:dyDescent="0.3">
      <c r="D198" s="10"/>
    </row>
    <row r="199" spans="4:4" x14ac:dyDescent="0.3">
      <c r="D199" s="10"/>
    </row>
    <row r="200" spans="4:4" x14ac:dyDescent="0.3">
      <c r="D200" s="10"/>
    </row>
    <row r="201" spans="4:4" x14ac:dyDescent="0.3">
      <c r="D201" s="10"/>
    </row>
    <row r="202" spans="4:4" x14ac:dyDescent="0.3">
      <c r="D202" s="10"/>
    </row>
    <row r="203" spans="4:4" x14ac:dyDescent="0.3">
      <c r="D203" s="10"/>
    </row>
    <row r="204" spans="4:4" x14ac:dyDescent="0.3">
      <c r="D204" s="10"/>
    </row>
    <row r="205" spans="4:4" x14ac:dyDescent="0.3">
      <c r="D205" s="10"/>
    </row>
    <row r="206" spans="4:4" x14ac:dyDescent="0.3">
      <c r="D206" s="10"/>
    </row>
    <row r="207" spans="4:4" x14ac:dyDescent="0.3">
      <c r="D207" s="10"/>
    </row>
    <row r="208" spans="4:4" x14ac:dyDescent="0.3">
      <c r="D208" s="10"/>
    </row>
    <row r="209" spans="4:4" x14ac:dyDescent="0.3">
      <c r="D209" s="10"/>
    </row>
    <row r="210" spans="4:4" x14ac:dyDescent="0.3">
      <c r="D210" s="10"/>
    </row>
    <row r="211" spans="4:4" x14ac:dyDescent="0.3">
      <c r="D211" s="10"/>
    </row>
    <row r="212" spans="4:4" x14ac:dyDescent="0.3">
      <c r="D212" s="10"/>
    </row>
    <row r="213" spans="4:4" x14ac:dyDescent="0.3">
      <c r="D213" s="10"/>
    </row>
    <row r="214" spans="4:4" x14ac:dyDescent="0.3">
      <c r="D214" s="10"/>
    </row>
    <row r="215" spans="4:4" x14ac:dyDescent="0.3">
      <c r="D215" s="10"/>
    </row>
    <row r="216" spans="4:4" x14ac:dyDescent="0.3">
      <c r="D216" s="10"/>
    </row>
    <row r="217" spans="4:4" x14ac:dyDescent="0.3">
      <c r="D217" s="10"/>
    </row>
    <row r="218" spans="4:4" x14ac:dyDescent="0.3">
      <c r="D218" s="10"/>
    </row>
    <row r="219" spans="4:4" x14ac:dyDescent="0.3">
      <c r="D219" s="10"/>
    </row>
    <row r="220" spans="4:4" x14ac:dyDescent="0.3">
      <c r="D220" s="10"/>
    </row>
  </sheetData>
  <mergeCells count="2">
    <mergeCell ref="B2:G2"/>
    <mergeCell ref="B1:G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B3:O156"/>
  <sheetViews>
    <sheetView zoomScale="86" zoomScaleNormal="86" workbookViewId="0">
      <selection activeCell="B3" sqref="B3:G24"/>
    </sheetView>
  </sheetViews>
  <sheetFormatPr defaultColWidth="9.33203125" defaultRowHeight="13.8" x14ac:dyDescent="0.3"/>
  <cols>
    <col min="1" max="1" width="3" style="1" customWidth="1"/>
    <col min="2" max="2" width="5.6640625" style="19" bestFit="1" customWidth="1"/>
    <col min="3" max="3" width="44.5546875" style="1" bestFit="1" customWidth="1"/>
    <col min="4" max="4" width="13" style="1" hidden="1" customWidth="1"/>
    <col min="5" max="5" width="11.33203125" style="1" hidden="1" customWidth="1"/>
    <col min="6" max="6" width="13.44140625" style="1" bestFit="1" customWidth="1"/>
    <col min="7" max="7" width="14.109375" style="1" customWidth="1"/>
    <col min="8" max="8" width="9.33203125" style="1" bestFit="1" customWidth="1"/>
    <col min="9" max="9" width="11" style="1" bestFit="1" customWidth="1"/>
    <col min="10" max="12" width="9.33203125" style="1"/>
    <col min="13" max="13" width="11.33203125" style="1" bestFit="1" customWidth="1"/>
    <col min="14" max="16384" width="9.33203125" style="1"/>
  </cols>
  <sheetData>
    <row r="3" spans="2:15" ht="14.4" customHeight="1" x14ac:dyDescent="0.3">
      <c r="B3" s="663"/>
      <c r="C3" s="664"/>
      <c r="D3" s="664"/>
      <c r="E3" s="664"/>
      <c r="F3" s="664"/>
      <c r="G3" s="8" t="s">
        <v>101</v>
      </c>
    </row>
    <row r="4" spans="2:15" ht="12.75" customHeight="1" x14ac:dyDescent="0.3">
      <c r="B4" s="665" t="s">
        <v>782</v>
      </c>
      <c r="C4" s="666"/>
      <c r="D4" s="666"/>
      <c r="E4" s="666"/>
      <c r="F4" s="666"/>
      <c r="G4" s="666"/>
      <c r="H4" s="505"/>
    </row>
    <row r="5" spans="2:15" x14ac:dyDescent="0.3">
      <c r="B5" s="436" t="s">
        <v>1</v>
      </c>
      <c r="C5" s="437" t="s">
        <v>2</v>
      </c>
      <c r="D5" s="437" t="s">
        <v>26</v>
      </c>
      <c r="E5" s="438" t="s">
        <v>27</v>
      </c>
      <c r="F5" s="438" t="s">
        <v>28</v>
      </c>
      <c r="G5" s="438" t="s">
        <v>29</v>
      </c>
    </row>
    <row r="6" spans="2:15" x14ac:dyDescent="0.3">
      <c r="B6" s="147"/>
      <c r="C6" s="148"/>
      <c r="D6" s="149"/>
      <c r="E6" s="456"/>
      <c r="F6" s="307"/>
      <c r="G6" s="148"/>
      <c r="K6" s="51"/>
    </row>
    <row r="7" spans="2:15" s="23" customFormat="1" x14ac:dyDescent="0.3">
      <c r="B7" s="165" t="s">
        <v>249</v>
      </c>
      <c r="C7" s="168" t="s">
        <v>783</v>
      </c>
      <c r="D7" s="445">
        <f>'[22]37.  Other expense'!F15/10^7</f>
        <v>0.66785846999999998</v>
      </c>
      <c r="E7" s="445">
        <f>'[48]TB 19-20'!$E$402/10^7</f>
        <v>0.39135629999999999</v>
      </c>
      <c r="F7" s="309">
        <f>'[49]2020-21'!$J$400/10^7</f>
        <v>1.446E-3</v>
      </c>
      <c r="G7" s="309">
        <f>'[50]TB 21-22'!$J$167/10^2</f>
        <v>2.8599999999999997E-3</v>
      </c>
    </row>
    <row r="8" spans="2:15" s="23" customFormat="1" x14ac:dyDescent="0.3">
      <c r="B8" s="165" t="s">
        <v>251</v>
      </c>
      <c r="C8" s="168" t="s">
        <v>784</v>
      </c>
      <c r="D8" s="496">
        <f>'[22]37.  Other expense'!$F$17/10^7</f>
        <v>1.4355766999999999</v>
      </c>
      <c r="E8" s="496">
        <f>'[23]37.  Other expense'!$F$17/10^7</f>
        <v>1.2626790999999999</v>
      </c>
      <c r="F8" s="309">
        <f>'[51]37.  Other expense'!$F$17/10^7</f>
        <v>1.5775312749999999</v>
      </c>
      <c r="G8" s="309">
        <f>'[25]37.  Other expense'!$F$16/10^2</f>
        <v>3.4278413999999997</v>
      </c>
    </row>
    <row r="9" spans="2:15" s="23" customFormat="1" x14ac:dyDescent="0.3">
      <c r="B9" s="165" t="s">
        <v>588</v>
      </c>
      <c r="C9" s="168" t="s">
        <v>785</v>
      </c>
      <c r="D9" s="496">
        <f>'[22]37.  Other expense'!$F$18/10^7</f>
        <v>9.7008899999999993E-4</v>
      </c>
      <c r="E9" s="496">
        <f>'[23]37.  Other expense'!$F$18/10^7</f>
        <v>6.4019199999999982E-4</v>
      </c>
      <c r="F9" s="309">
        <f>'[51]37.  Other expense'!$F$18/10^7</f>
        <v>1.3439999999999999E-4</v>
      </c>
      <c r="G9" s="309">
        <f>'[25]37.  Other expense'!$F$17/10^2</f>
        <v>2.9543999999999998E-3</v>
      </c>
    </row>
    <row r="10" spans="2:15" s="23" customFormat="1" x14ac:dyDescent="0.3">
      <c r="B10" s="165" t="s">
        <v>720</v>
      </c>
      <c r="C10" s="168" t="s">
        <v>786</v>
      </c>
      <c r="D10" s="496">
        <f>'[22]37.  Other expense'!$F$13/10^7</f>
        <v>19.414427415999999</v>
      </c>
      <c r="E10" s="496">
        <f>'[23]37.  Other expense'!$F$13/10^7</f>
        <v>14.8362771</v>
      </c>
      <c r="F10" s="309">
        <f>'[51]37.  Other expense'!$F$13/10^7</f>
        <v>27.47803</v>
      </c>
      <c r="G10" s="309">
        <f>'[25]37.  Other expense'!$F$13/10^2</f>
        <v>17.232836150000001</v>
      </c>
      <c r="H10" s="141"/>
    </row>
    <row r="11" spans="2:15" s="23" customFormat="1" x14ac:dyDescent="0.3">
      <c r="B11" s="165" t="s">
        <v>787</v>
      </c>
      <c r="C11" s="168" t="s">
        <v>788</v>
      </c>
      <c r="D11" s="496">
        <f>'[22]37.  Other expense'!$F$33/10^7</f>
        <v>2.619392036803653</v>
      </c>
      <c r="E11" s="496">
        <f>'[23]37.  Other expense'!$F$33/10^7</f>
        <v>2.2119142549999995</v>
      </c>
      <c r="F11" s="309">
        <f>'[51]37.  Other expense'!$F$33/10^7</f>
        <v>3.0575312849999996</v>
      </c>
      <c r="G11" s="309">
        <f>'[25]37.  Other expense'!$F$32/10^2</f>
        <v>4.9951557320000006</v>
      </c>
    </row>
    <row r="12" spans="2:15" s="23" customFormat="1" x14ac:dyDescent="0.3">
      <c r="B12" s="165" t="s">
        <v>789</v>
      </c>
      <c r="C12" s="168" t="s">
        <v>790</v>
      </c>
      <c r="D12" s="496">
        <f>'[22]37.  Other expense'!$F$19/10^7</f>
        <v>5.336545096</v>
      </c>
      <c r="E12" s="496">
        <f>'[23]37.  Other expense'!$F$19/10^7</f>
        <v>5.7562950139999991</v>
      </c>
      <c r="F12" s="309">
        <f>'[24]37.  Other expense'!$F$19/10^7</f>
        <v>6.1720693349999998</v>
      </c>
      <c r="G12" s="309">
        <f>'[25]37.  Other expense'!$F$18/10^2</f>
        <v>6.7339082380000006</v>
      </c>
      <c r="M12" s="497"/>
    </row>
    <row r="13" spans="2:15" s="23" customFormat="1" x14ac:dyDescent="0.3">
      <c r="B13" s="165" t="s">
        <v>791</v>
      </c>
      <c r="C13" s="168" t="s">
        <v>792</v>
      </c>
      <c r="D13" s="496">
        <f>'[22]37.  Other expense'!$F$34/10^7</f>
        <v>4.7606489869999997</v>
      </c>
      <c r="E13" s="496">
        <f>'[23]37.  Other expense'!$F$34/10^7</f>
        <v>6.7725965500000003</v>
      </c>
      <c r="F13" s="309">
        <f>'[24]37.  Other expense'!$F$34/10^7</f>
        <v>4.6491357227126171</v>
      </c>
      <c r="G13" s="309">
        <f>'[25]37.  Other expense'!$F$33/10^2</f>
        <v>4.3545593376863545</v>
      </c>
      <c r="O13" s="325">
        <f>G18-[30]Sheet3!$G$20</f>
        <v>49.424701084686362</v>
      </c>
    </row>
    <row r="14" spans="2:15" s="23" customFormat="1" x14ac:dyDescent="0.3">
      <c r="B14" s="165" t="s">
        <v>793</v>
      </c>
      <c r="C14" s="168" t="s">
        <v>794</v>
      </c>
      <c r="D14" s="496">
        <f>'[22]37.  Other expense'!$F$32/10^7</f>
        <v>0.81630952613813734</v>
      </c>
      <c r="E14" s="496">
        <f>'[23]37.  Other expense'!$F$32/10^7</f>
        <v>0.46474331028600002</v>
      </c>
      <c r="F14" s="309">
        <f>'[24]37.  Other expense'!$F$32/10^7</f>
        <v>9.2806765279041498E-2</v>
      </c>
      <c r="G14" s="309">
        <f>'[25]37.  Other expense'!$F$31/10^2</f>
        <v>0.33842678330790571</v>
      </c>
      <c r="H14" s="493"/>
    </row>
    <row r="15" spans="2:15" s="23" customFormat="1" x14ac:dyDescent="0.3">
      <c r="B15" s="165" t="s">
        <v>795</v>
      </c>
      <c r="C15" s="168" t="s">
        <v>796</v>
      </c>
      <c r="D15" s="496">
        <f>'[22]37.  Other expense'!$F$35/10^7</f>
        <v>13.934734089292236</v>
      </c>
      <c r="E15" s="496">
        <f>'[23]37.  Other expense'!$F$35/10^7-E7</f>
        <v>24.687119150661339</v>
      </c>
      <c r="F15" s="309">
        <f>'[51]37.  Other expense'!$F$35/10^7-(('[49]2020-21'!$J$244+'[49]2020-21'!$J$259)/10^7)</f>
        <v>15.114299082999997</v>
      </c>
      <c r="G15" s="309">
        <f>('[25]37.  Other expense'!$F$34/10^2)-('[50]TB 21-22'!$J$184/10^2)-('[50]TB 21-22'!$J$359/10^2)</f>
        <v>13.444520346000001</v>
      </c>
      <c r="I15" s="325"/>
      <c r="L15" s="309"/>
    </row>
    <row r="16" spans="2:15" s="23" customFormat="1" x14ac:dyDescent="0.3">
      <c r="B16" s="165" t="s">
        <v>797</v>
      </c>
      <c r="C16" s="168" t="s">
        <v>798</v>
      </c>
      <c r="D16" s="496">
        <f>'[22]37.  Other expense'!$F$25/10^7</f>
        <v>9.2394000000000004E-2</v>
      </c>
      <c r="E16" s="496">
        <f>'[23]37.  Other expense'!$F$25/10^7</f>
        <v>0.1003</v>
      </c>
      <c r="F16" s="309">
        <f>'[24]37.  Other expense'!$F$25/10^7</f>
        <v>0.10856</v>
      </c>
      <c r="G16" s="309">
        <f>'[25]37.  Other expense'!$F$24/10^2</f>
        <v>0.11800000000000001</v>
      </c>
      <c r="I16" s="325"/>
    </row>
    <row r="17" spans="2:10" s="23" customFormat="1" x14ac:dyDescent="0.3">
      <c r="B17" s="165" t="s">
        <v>799</v>
      </c>
      <c r="C17" s="168" t="s">
        <v>800</v>
      </c>
      <c r="D17" s="496">
        <f>'[22]37.  Other expense'!$F$26/10^7</f>
        <v>1.3859099999999999E-2</v>
      </c>
      <c r="E17" s="496">
        <f>'[23]37.  Other expense'!$F$26/10^7</f>
        <v>1.5044999999999999E-2</v>
      </c>
      <c r="F17" s="309">
        <f>'[24]37.  Other expense'!$F$26/10^7</f>
        <v>1.6284E-2</v>
      </c>
      <c r="G17" s="309">
        <f>'[25]37.  Other expense'!$F$25/10^2</f>
        <v>1.77E-2</v>
      </c>
      <c r="H17" s="141"/>
      <c r="I17" s="542"/>
    </row>
    <row r="18" spans="2:10" s="8" customFormat="1" x14ac:dyDescent="0.3">
      <c r="B18" s="235" t="s">
        <v>801</v>
      </c>
      <c r="C18" s="236" t="s">
        <v>108</v>
      </c>
      <c r="D18" s="498">
        <f>SUM(D7:D17)</f>
        <v>49.092715510234015</v>
      </c>
      <c r="E18" s="499">
        <f>SUM(E7:E17)</f>
        <v>56.498965971947335</v>
      </c>
      <c r="F18" s="499">
        <f>SUM(F7:F17)-F7-F14</f>
        <v>58.173575100712604</v>
      </c>
      <c r="G18" s="500">
        <f>SUM(G7:G17)-G14-G7</f>
        <v>50.327475603686359</v>
      </c>
      <c r="H18" s="469"/>
      <c r="I18" s="469"/>
      <c r="J18" s="469"/>
    </row>
    <row r="19" spans="2:10" s="8" customFormat="1" x14ac:dyDescent="0.3">
      <c r="B19" s="235" t="s">
        <v>802</v>
      </c>
      <c r="C19" s="236" t="s">
        <v>779</v>
      </c>
      <c r="D19" s="498">
        <f>-'[22]37.  Other expense'!$F$46/10^7</f>
        <v>3.1895614409999999</v>
      </c>
      <c r="E19" s="499">
        <f>-'[23]37.  Other expense'!$F$46/10^7</f>
        <v>1.2899131500000001</v>
      </c>
      <c r="F19" s="500">
        <f>'[24]37.  Other expense'!$F$46/10^7</f>
        <v>-0.92789909999999998</v>
      </c>
      <c r="G19" s="309">
        <f>'[25]37.  Other expense'!$F$45/10^2</f>
        <v>-0.98240410099999986</v>
      </c>
      <c r="J19" s="469"/>
    </row>
    <row r="20" spans="2:10" s="8" customFormat="1" x14ac:dyDescent="0.3">
      <c r="B20" s="235"/>
      <c r="C20" s="236"/>
      <c r="D20" s="498"/>
      <c r="E20" s="496"/>
      <c r="F20" s="500"/>
      <c r="G20" s="500"/>
    </row>
    <row r="21" spans="2:10" s="8" customFormat="1" x14ac:dyDescent="0.3">
      <c r="B21" s="235" t="s">
        <v>803</v>
      </c>
      <c r="C21" s="236" t="s">
        <v>804</v>
      </c>
      <c r="D21" s="498">
        <f>D18-D19</f>
        <v>45.903154069234013</v>
      </c>
      <c r="E21" s="498">
        <f>E18-E19</f>
        <v>55.209052821947338</v>
      </c>
      <c r="F21" s="498">
        <f>F18+F19</f>
        <v>57.245676000712606</v>
      </c>
      <c r="G21" s="498">
        <f>G18+G19</f>
        <v>49.345071502686359</v>
      </c>
    </row>
    <row r="22" spans="2:10" s="8" customFormat="1" x14ac:dyDescent="0.3">
      <c r="B22" s="235"/>
      <c r="C22" s="236"/>
      <c r="D22" s="498"/>
      <c r="E22" s="501"/>
      <c r="F22" s="500"/>
      <c r="G22" s="500"/>
      <c r="I22" s="469"/>
    </row>
    <row r="23" spans="2:10" x14ac:dyDescent="0.3">
      <c r="B23" s="147"/>
      <c r="C23" s="502" t="s">
        <v>805</v>
      </c>
      <c r="D23" s="503">
        <f>D21+'F14'!D13</f>
        <v>92.646054151234026</v>
      </c>
      <c r="E23" s="504"/>
      <c r="F23" s="307"/>
      <c r="G23" s="307"/>
    </row>
    <row r="24" spans="2:10" x14ac:dyDescent="0.3">
      <c r="B24" s="147"/>
      <c r="C24" s="667" t="s">
        <v>806</v>
      </c>
      <c r="D24" s="668"/>
      <c r="E24" s="668"/>
      <c r="F24" s="668"/>
      <c r="G24" s="669"/>
    </row>
    <row r="25" spans="2:10" x14ac:dyDescent="0.3">
      <c r="D25" s="35">
        <f>D23-D24</f>
        <v>92.646054151234026</v>
      </c>
    </row>
    <row r="26" spans="2:10" x14ac:dyDescent="0.3">
      <c r="D26" s="10"/>
    </row>
    <row r="27" spans="2:10" x14ac:dyDescent="0.3">
      <c r="D27" s="10"/>
    </row>
    <row r="28" spans="2:10" x14ac:dyDescent="0.3">
      <c r="D28" s="10"/>
    </row>
    <row r="29" spans="2:10" x14ac:dyDescent="0.3">
      <c r="D29" s="10"/>
    </row>
    <row r="30" spans="2:10" x14ac:dyDescent="0.3">
      <c r="D30" s="10"/>
    </row>
    <row r="31" spans="2:10" x14ac:dyDescent="0.3">
      <c r="D31" s="10"/>
    </row>
    <row r="32" spans="2:10" x14ac:dyDescent="0.3">
      <c r="D32" s="10"/>
    </row>
    <row r="33" spans="4:4" x14ac:dyDescent="0.3">
      <c r="D33" s="10"/>
    </row>
    <row r="34" spans="4:4" x14ac:dyDescent="0.3">
      <c r="D34" s="10"/>
    </row>
    <row r="35" spans="4:4" x14ac:dyDescent="0.3">
      <c r="D35" s="10"/>
    </row>
    <row r="36" spans="4:4" x14ac:dyDescent="0.3">
      <c r="D36" s="10"/>
    </row>
    <row r="37" spans="4:4" x14ac:dyDescent="0.3">
      <c r="D37" s="10"/>
    </row>
    <row r="38" spans="4:4" x14ac:dyDescent="0.3">
      <c r="D38" s="10"/>
    </row>
    <row r="39" spans="4:4" x14ac:dyDescent="0.3">
      <c r="D39" s="10"/>
    </row>
    <row r="40" spans="4:4" x14ac:dyDescent="0.3">
      <c r="D40" s="10"/>
    </row>
    <row r="41" spans="4:4" x14ac:dyDescent="0.3">
      <c r="D41" s="10"/>
    </row>
    <row r="42" spans="4:4" x14ac:dyDescent="0.3">
      <c r="D42" s="10"/>
    </row>
    <row r="43" spans="4:4" x14ac:dyDescent="0.3">
      <c r="D43" s="10"/>
    </row>
    <row r="44" spans="4:4" x14ac:dyDescent="0.3">
      <c r="D44" s="10"/>
    </row>
    <row r="45" spans="4:4" x14ac:dyDescent="0.3">
      <c r="D45" s="10"/>
    </row>
    <row r="46" spans="4:4" x14ac:dyDescent="0.3">
      <c r="D46" s="10"/>
    </row>
    <row r="47" spans="4:4" x14ac:dyDescent="0.3">
      <c r="D47" s="10"/>
    </row>
    <row r="48" spans="4:4" x14ac:dyDescent="0.3">
      <c r="D48" s="10"/>
    </row>
    <row r="49" spans="4:4" x14ac:dyDescent="0.3">
      <c r="D49" s="10"/>
    </row>
    <row r="50" spans="4:4" x14ac:dyDescent="0.3">
      <c r="D50" s="10"/>
    </row>
    <row r="51" spans="4:4" x14ac:dyDescent="0.3">
      <c r="D51" s="10"/>
    </row>
    <row r="52" spans="4:4" x14ac:dyDescent="0.3">
      <c r="D52" s="10"/>
    </row>
    <row r="53" spans="4:4" x14ac:dyDescent="0.3">
      <c r="D53" s="10"/>
    </row>
    <row r="54" spans="4:4" x14ac:dyDescent="0.3">
      <c r="D54" s="10"/>
    </row>
    <row r="55" spans="4:4" x14ac:dyDescent="0.3">
      <c r="D55" s="10"/>
    </row>
    <row r="56" spans="4:4" x14ac:dyDescent="0.3">
      <c r="D56" s="10"/>
    </row>
    <row r="57" spans="4:4" x14ac:dyDescent="0.3">
      <c r="D57" s="10"/>
    </row>
    <row r="58" spans="4:4" x14ac:dyDescent="0.3">
      <c r="D58" s="10"/>
    </row>
    <row r="59" spans="4:4" x14ac:dyDescent="0.3">
      <c r="D59" s="10"/>
    </row>
    <row r="60" spans="4:4" x14ac:dyDescent="0.3">
      <c r="D60" s="10"/>
    </row>
    <row r="61" spans="4:4" x14ac:dyDescent="0.3">
      <c r="D61" s="10"/>
    </row>
    <row r="62" spans="4:4" x14ac:dyDescent="0.3">
      <c r="D62" s="10"/>
    </row>
    <row r="63" spans="4:4" x14ac:dyDescent="0.3">
      <c r="D63" s="10"/>
    </row>
    <row r="64" spans="4:4" x14ac:dyDescent="0.3">
      <c r="D64" s="10"/>
    </row>
    <row r="65" spans="4:4" x14ac:dyDescent="0.3">
      <c r="D65" s="10"/>
    </row>
    <row r="66" spans="4:4" x14ac:dyDescent="0.3">
      <c r="D66" s="10"/>
    </row>
    <row r="67" spans="4:4" x14ac:dyDescent="0.3">
      <c r="D67" s="10"/>
    </row>
    <row r="68" spans="4:4" x14ac:dyDescent="0.3">
      <c r="D68" s="10"/>
    </row>
    <row r="69" spans="4:4" x14ac:dyDescent="0.3">
      <c r="D69" s="10"/>
    </row>
    <row r="70" spans="4:4" x14ac:dyDescent="0.3">
      <c r="D70" s="10"/>
    </row>
    <row r="71" spans="4:4" x14ac:dyDescent="0.3">
      <c r="D71" s="10"/>
    </row>
    <row r="72" spans="4:4" x14ac:dyDescent="0.3">
      <c r="D72" s="10"/>
    </row>
    <row r="73" spans="4:4" x14ac:dyDescent="0.3">
      <c r="D73" s="10"/>
    </row>
    <row r="74" spans="4:4" x14ac:dyDescent="0.3">
      <c r="D74" s="10"/>
    </row>
    <row r="75" spans="4:4" x14ac:dyDescent="0.3">
      <c r="D75" s="10"/>
    </row>
    <row r="76" spans="4:4" x14ac:dyDescent="0.3">
      <c r="D76" s="10"/>
    </row>
    <row r="77" spans="4:4" x14ac:dyDescent="0.3">
      <c r="D77" s="10"/>
    </row>
    <row r="78" spans="4:4" x14ac:dyDescent="0.3">
      <c r="D78" s="10"/>
    </row>
    <row r="79" spans="4:4" x14ac:dyDescent="0.3">
      <c r="D79" s="10"/>
    </row>
    <row r="80" spans="4:4" x14ac:dyDescent="0.3">
      <c r="D80" s="10"/>
    </row>
    <row r="81" spans="4:4" x14ac:dyDescent="0.3">
      <c r="D81" s="10"/>
    </row>
    <row r="82" spans="4:4" x14ac:dyDescent="0.3">
      <c r="D82" s="10"/>
    </row>
    <row r="83" spans="4:4" x14ac:dyDescent="0.3">
      <c r="D83" s="10"/>
    </row>
    <row r="84" spans="4:4" x14ac:dyDescent="0.3">
      <c r="D84" s="10"/>
    </row>
    <row r="85" spans="4:4" x14ac:dyDescent="0.3">
      <c r="D85" s="10"/>
    </row>
    <row r="86" spans="4:4" x14ac:dyDescent="0.3">
      <c r="D86" s="10"/>
    </row>
    <row r="87" spans="4:4" x14ac:dyDescent="0.3">
      <c r="D87" s="10"/>
    </row>
    <row r="88" spans="4:4" x14ac:dyDescent="0.3">
      <c r="D88" s="10"/>
    </row>
    <row r="89" spans="4:4" x14ac:dyDescent="0.3">
      <c r="D89" s="10"/>
    </row>
    <row r="90" spans="4:4" x14ac:dyDescent="0.3">
      <c r="D90" s="10"/>
    </row>
    <row r="91" spans="4:4" x14ac:dyDescent="0.3">
      <c r="D91" s="10"/>
    </row>
    <row r="92" spans="4:4" x14ac:dyDescent="0.3">
      <c r="D92" s="10"/>
    </row>
    <row r="93" spans="4:4" x14ac:dyDescent="0.3">
      <c r="D93" s="10"/>
    </row>
    <row r="94" spans="4:4" x14ac:dyDescent="0.3">
      <c r="D94" s="10"/>
    </row>
    <row r="95" spans="4:4" x14ac:dyDescent="0.3">
      <c r="D95" s="10"/>
    </row>
    <row r="96" spans="4:4" x14ac:dyDescent="0.3">
      <c r="D96" s="10"/>
    </row>
    <row r="97" spans="4:4" x14ac:dyDescent="0.3">
      <c r="D97" s="10"/>
    </row>
    <row r="98" spans="4:4" x14ac:dyDescent="0.3">
      <c r="D98" s="10"/>
    </row>
    <row r="99" spans="4:4" x14ac:dyDescent="0.3">
      <c r="D99" s="10"/>
    </row>
    <row r="100" spans="4:4" x14ac:dyDescent="0.3">
      <c r="D100" s="10"/>
    </row>
    <row r="101" spans="4:4" x14ac:dyDescent="0.3">
      <c r="D101" s="10"/>
    </row>
    <row r="102" spans="4:4" x14ac:dyDescent="0.3">
      <c r="D102" s="10"/>
    </row>
    <row r="103" spans="4:4" x14ac:dyDescent="0.3">
      <c r="D103" s="10"/>
    </row>
    <row r="104" spans="4:4" x14ac:dyDescent="0.3">
      <c r="D104" s="10"/>
    </row>
    <row r="105" spans="4:4" x14ac:dyDescent="0.3">
      <c r="D105" s="10"/>
    </row>
    <row r="106" spans="4:4" x14ac:dyDescent="0.3">
      <c r="D106" s="10"/>
    </row>
    <row r="107" spans="4:4" x14ac:dyDescent="0.3">
      <c r="D107" s="10"/>
    </row>
    <row r="108" spans="4:4" x14ac:dyDescent="0.3">
      <c r="D108" s="10"/>
    </row>
    <row r="109" spans="4:4" x14ac:dyDescent="0.3">
      <c r="D109" s="10"/>
    </row>
    <row r="110" spans="4:4" x14ac:dyDescent="0.3">
      <c r="D110" s="10"/>
    </row>
    <row r="111" spans="4:4" x14ac:dyDescent="0.3">
      <c r="D111" s="10"/>
    </row>
    <row r="112" spans="4:4" x14ac:dyDescent="0.3">
      <c r="D112" s="10"/>
    </row>
    <row r="113" spans="4:4" x14ac:dyDescent="0.3">
      <c r="D113" s="10"/>
    </row>
    <row r="114" spans="4:4" x14ac:dyDescent="0.3">
      <c r="D114" s="10"/>
    </row>
    <row r="115" spans="4:4" x14ac:dyDescent="0.3">
      <c r="D115" s="10"/>
    </row>
    <row r="116" spans="4:4" x14ac:dyDescent="0.3">
      <c r="D116" s="10"/>
    </row>
    <row r="117" spans="4:4" x14ac:dyDescent="0.3">
      <c r="D117" s="10"/>
    </row>
    <row r="118" spans="4:4" x14ac:dyDescent="0.3">
      <c r="D118" s="10"/>
    </row>
    <row r="119" spans="4:4" x14ac:dyDescent="0.3">
      <c r="D119" s="10"/>
    </row>
    <row r="120" spans="4:4" x14ac:dyDescent="0.3">
      <c r="D120" s="10"/>
    </row>
    <row r="121" spans="4:4" x14ac:dyDescent="0.3">
      <c r="D121" s="10"/>
    </row>
    <row r="122" spans="4:4" x14ac:dyDescent="0.3">
      <c r="D122" s="10"/>
    </row>
    <row r="123" spans="4:4" x14ac:dyDescent="0.3">
      <c r="D123" s="10"/>
    </row>
    <row r="124" spans="4:4" x14ac:dyDescent="0.3">
      <c r="D124" s="10"/>
    </row>
    <row r="125" spans="4:4" x14ac:dyDescent="0.3">
      <c r="D125" s="10"/>
    </row>
    <row r="126" spans="4:4" x14ac:dyDescent="0.3">
      <c r="D126" s="10"/>
    </row>
    <row r="127" spans="4:4" x14ac:dyDescent="0.3">
      <c r="D127" s="10"/>
    </row>
    <row r="128" spans="4:4" x14ac:dyDescent="0.3">
      <c r="D128" s="10"/>
    </row>
    <row r="129" spans="4:4" x14ac:dyDescent="0.3">
      <c r="D129" s="10"/>
    </row>
    <row r="130" spans="4:4" x14ac:dyDescent="0.3">
      <c r="D130" s="10"/>
    </row>
    <row r="131" spans="4:4" x14ac:dyDescent="0.3">
      <c r="D131" s="10"/>
    </row>
    <row r="132" spans="4:4" x14ac:dyDescent="0.3">
      <c r="D132" s="10"/>
    </row>
    <row r="133" spans="4:4" x14ac:dyDescent="0.3">
      <c r="D133" s="10"/>
    </row>
    <row r="134" spans="4:4" x14ac:dyDescent="0.3">
      <c r="D134" s="10"/>
    </row>
    <row r="135" spans="4:4" x14ac:dyDescent="0.3">
      <c r="D135" s="10"/>
    </row>
    <row r="136" spans="4:4" x14ac:dyDescent="0.3">
      <c r="D136" s="10"/>
    </row>
    <row r="137" spans="4:4" x14ac:dyDescent="0.3">
      <c r="D137" s="10"/>
    </row>
    <row r="138" spans="4:4" x14ac:dyDescent="0.3">
      <c r="D138" s="10"/>
    </row>
    <row r="139" spans="4:4" x14ac:dyDescent="0.3">
      <c r="D139" s="10"/>
    </row>
    <row r="140" spans="4:4" x14ac:dyDescent="0.3">
      <c r="D140" s="10"/>
    </row>
    <row r="141" spans="4:4" x14ac:dyDescent="0.3">
      <c r="D141" s="10"/>
    </row>
    <row r="142" spans="4:4" x14ac:dyDescent="0.3">
      <c r="D142" s="10"/>
    </row>
    <row r="143" spans="4:4" x14ac:dyDescent="0.3">
      <c r="D143" s="10"/>
    </row>
    <row r="144" spans="4:4" x14ac:dyDescent="0.3">
      <c r="D144" s="10"/>
    </row>
    <row r="145" spans="4:4" x14ac:dyDescent="0.3">
      <c r="D145" s="10"/>
    </row>
    <row r="146" spans="4:4" x14ac:dyDescent="0.3">
      <c r="D146" s="10"/>
    </row>
    <row r="147" spans="4:4" x14ac:dyDescent="0.3">
      <c r="D147" s="10"/>
    </row>
    <row r="148" spans="4:4" x14ac:dyDescent="0.3">
      <c r="D148" s="10"/>
    </row>
    <row r="149" spans="4:4" x14ac:dyDescent="0.3">
      <c r="D149" s="10"/>
    </row>
    <row r="150" spans="4:4" x14ac:dyDescent="0.3">
      <c r="D150" s="10"/>
    </row>
    <row r="151" spans="4:4" x14ac:dyDescent="0.3">
      <c r="D151" s="10"/>
    </row>
    <row r="152" spans="4:4" x14ac:dyDescent="0.3">
      <c r="D152" s="10"/>
    </row>
    <row r="153" spans="4:4" x14ac:dyDescent="0.3">
      <c r="D153" s="10"/>
    </row>
    <row r="154" spans="4:4" x14ac:dyDescent="0.3">
      <c r="D154" s="10"/>
    </row>
    <row r="155" spans="4:4" x14ac:dyDescent="0.3">
      <c r="D155" s="10"/>
    </row>
    <row r="156" spans="4:4" x14ac:dyDescent="0.3">
      <c r="D156" s="10"/>
    </row>
  </sheetData>
  <mergeCells count="3">
    <mergeCell ref="B3:F3"/>
    <mergeCell ref="B4:G4"/>
    <mergeCell ref="C24:G24"/>
  </mergeCells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59999389629810485"/>
  </sheetPr>
  <dimension ref="B3:I17"/>
  <sheetViews>
    <sheetView workbookViewId="0">
      <selection activeCell="G7" sqref="G7:G13"/>
    </sheetView>
  </sheetViews>
  <sheetFormatPr defaultColWidth="9.33203125" defaultRowHeight="13.8" x14ac:dyDescent="0.3"/>
  <cols>
    <col min="1" max="1" width="3.33203125" style="1" customWidth="1"/>
    <col min="2" max="2" width="5.6640625" style="19" bestFit="1" customWidth="1"/>
    <col min="3" max="3" width="23.44140625" style="1" customWidth="1"/>
    <col min="4" max="4" width="9.6640625" style="1" hidden="1" customWidth="1"/>
    <col min="5" max="5" width="0" style="1" hidden="1" customWidth="1"/>
    <col min="6" max="6" width="13.44140625" style="1" bestFit="1" customWidth="1"/>
    <col min="7" max="16384" width="9.33203125" style="1"/>
  </cols>
  <sheetData>
    <row r="3" spans="2:9" ht="14.4" customHeight="1" x14ac:dyDescent="0.3">
      <c r="B3" s="664" t="s">
        <v>101</v>
      </c>
      <c r="C3" s="664"/>
      <c r="D3" s="664"/>
      <c r="E3" s="664"/>
      <c r="F3" s="664"/>
      <c r="G3" s="664"/>
    </row>
    <row r="4" spans="2:9" ht="13.2" customHeight="1" x14ac:dyDescent="0.3">
      <c r="B4" s="666" t="s">
        <v>807</v>
      </c>
      <c r="C4" s="666"/>
      <c r="D4" s="666"/>
      <c r="E4" s="666"/>
      <c r="F4" s="666"/>
      <c r="G4" s="666"/>
    </row>
    <row r="5" spans="2:9" ht="27.6" x14ac:dyDescent="0.3">
      <c r="B5" s="487" t="s">
        <v>1</v>
      </c>
      <c r="C5" s="486" t="s">
        <v>2</v>
      </c>
      <c r="D5" s="486" t="s">
        <v>26</v>
      </c>
      <c r="E5" s="486" t="s">
        <v>27</v>
      </c>
      <c r="F5" s="486" t="s">
        <v>28</v>
      </c>
      <c r="G5" s="486" t="s">
        <v>29</v>
      </c>
    </row>
    <row r="6" spans="2:9" x14ac:dyDescent="0.3">
      <c r="B6" s="147"/>
      <c r="C6" s="148"/>
      <c r="D6" s="148"/>
      <c r="E6" s="148"/>
      <c r="F6" s="148"/>
    </row>
    <row r="7" spans="2:9" s="140" customFormat="1" x14ac:dyDescent="0.3">
      <c r="B7" s="446">
        <v>1</v>
      </c>
      <c r="C7" s="447" t="s">
        <v>808</v>
      </c>
      <c r="D7" s="169">
        <f>'[22]37.  Other expense'!F10/10^7</f>
        <v>40.567302700000013</v>
      </c>
      <c r="E7" s="169">
        <f>'[23]37.  Other expense'!$F$10/10^7</f>
        <v>46.504870631000003</v>
      </c>
      <c r="F7" s="458">
        <f>'[24]37.  Other expense'!$F$10/10^7</f>
        <v>46.934063046999988</v>
      </c>
      <c r="G7" s="458">
        <f>'[25]37.  Other expense'!$F$10/10^2</f>
        <v>58.364619773999976</v>
      </c>
    </row>
    <row r="8" spans="2:9" s="140" customFormat="1" x14ac:dyDescent="0.3">
      <c r="B8" s="446">
        <v>2</v>
      </c>
      <c r="C8" s="447" t="s">
        <v>809</v>
      </c>
      <c r="D8" s="169">
        <f>'[22]37.  Other expense'!F11/10^7</f>
        <v>5.9331493050000006</v>
      </c>
      <c r="E8" s="169">
        <f>'[23]37.  Other expense'!$F$11/10^7</f>
        <v>5.4423212769999996</v>
      </c>
      <c r="F8" s="458">
        <f>'[24]37.  Other expense'!$F$11/10^7</f>
        <v>8.1737346039999998</v>
      </c>
      <c r="G8" s="458">
        <f>'[25]37.  Other expense'!$F$11/10^2</f>
        <v>5.4444464410000002</v>
      </c>
    </row>
    <row r="9" spans="2:9" s="140" customFormat="1" x14ac:dyDescent="0.3">
      <c r="B9" s="446">
        <v>3</v>
      </c>
      <c r="C9" s="447" t="s">
        <v>367</v>
      </c>
      <c r="D9" s="169">
        <f>'[22]37.  Other expense'!F12/10^7</f>
        <v>0.24244807699999996</v>
      </c>
      <c r="E9" s="169">
        <f>'[23]37.  Other expense'!$F$12/10^7</f>
        <v>0.33459293900000003</v>
      </c>
      <c r="F9" s="543">
        <f>'[24]37.  Other expense'!$F$12/10^7</f>
        <v>0.62619916999999992</v>
      </c>
      <c r="G9" s="494">
        <f>'[25]37.  Other expense'!$F$12/10^2</f>
        <v>0.32948014999999997</v>
      </c>
    </row>
    <row r="10" spans="2:9" s="140" customFormat="1" x14ac:dyDescent="0.3">
      <c r="B10" s="446">
        <v>4</v>
      </c>
      <c r="C10" s="447" t="s">
        <v>810</v>
      </c>
      <c r="D10" s="164">
        <f>SUM(D7:D9)</f>
        <v>46.742900082000013</v>
      </c>
      <c r="E10" s="164">
        <f>SUM(E7:E9)</f>
        <v>52.281784846999997</v>
      </c>
      <c r="F10" s="506">
        <f>SUM(F7:F9)</f>
        <v>55.733996820999984</v>
      </c>
      <c r="G10" s="506">
        <f>SUM(G7:G9)</f>
        <v>64.138546364999968</v>
      </c>
      <c r="I10" s="556">
        <f>G10-[30]Sheet3!$G$21</f>
        <v>62.442761813999965</v>
      </c>
    </row>
    <row r="11" spans="2:9" s="140" customFormat="1" x14ac:dyDescent="0.3">
      <c r="B11" s="446">
        <v>5</v>
      </c>
      <c r="C11" s="447" t="s">
        <v>779</v>
      </c>
      <c r="D11" s="164"/>
      <c r="E11" s="163"/>
      <c r="F11" s="163"/>
      <c r="G11" s="458"/>
    </row>
    <row r="12" spans="2:9" s="140" customFormat="1" x14ac:dyDescent="0.3">
      <c r="B12" s="446"/>
      <c r="C12" s="447"/>
      <c r="D12" s="164"/>
      <c r="E12" s="163"/>
      <c r="F12" s="163"/>
      <c r="G12" s="458"/>
    </row>
    <row r="13" spans="2:9" s="140" customFormat="1" x14ac:dyDescent="0.3">
      <c r="B13" s="446">
        <v>6</v>
      </c>
      <c r="C13" s="447" t="s">
        <v>811</v>
      </c>
      <c r="D13" s="164">
        <f>D10+D11</f>
        <v>46.742900082000013</v>
      </c>
      <c r="E13" s="164">
        <f>E10+E11</f>
        <v>52.281784846999997</v>
      </c>
      <c r="F13" s="479">
        <f>F10+F11</f>
        <v>55.733996820999984</v>
      </c>
      <c r="G13" s="457">
        <f>G10+G11</f>
        <v>64.138546364999968</v>
      </c>
    </row>
    <row r="14" spans="2:9" x14ac:dyDescent="0.3">
      <c r="B14" s="507"/>
      <c r="C14" s="508"/>
      <c r="D14" s="508"/>
      <c r="E14" s="508"/>
      <c r="F14" s="509"/>
      <c r="G14" s="163"/>
    </row>
    <row r="15" spans="2:9" x14ac:dyDescent="0.3">
      <c r="B15" s="510"/>
      <c r="C15" s="140"/>
      <c r="D15" s="511"/>
      <c r="E15" s="140"/>
      <c r="F15" s="512"/>
      <c r="G15" s="163"/>
    </row>
    <row r="16" spans="2:9" x14ac:dyDescent="0.3">
      <c r="B16" s="510"/>
      <c r="C16" s="513" t="s">
        <v>805</v>
      </c>
      <c r="D16" s="140"/>
      <c r="E16" s="140"/>
      <c r="F16" s="512"/>
      <c r="G16" s="163"/>
    </row>
    <row r="17" spans="2:7" x14ac:dyDescent="0.3">
      <c r="B17" s="514"/>
      <c r="C17" s="442" t="s">
        <v>806</v>
      </c>
      <c r="D17" s="442"/>
      <c r="E17" s="442"/>
      <c r="F17" s="515"/>
      <c r="G17" s="163"/>
    </row>
  </sheetData>
  <mergeCells count="2">
    <mergeCell ref="B4:G4"/>
    <mergeCell ref="B3:G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B3:K33"/>
  <sheetViews>
    <sheetView showGridLines="0" view="pageBreakPreview" zoomScale="90" zoomScaleNormal="100" zoomScaleSheetLayoutView="90" workbookViewId="0">
      <selection activeCell="H9" sqref="H9:I22"/>
    </sheetView>
  </sheetViews>
  <sheetFormatPr defaultColWidth="9.33203125" defaultRowHeight="13.8" x14ac:dyDescent="0.3"/>
  <cols>
    <col min="1" max="1" width="3.33203125" style="1" customWidth="1"/>
    <col min="2" max="2" width="5.6640625" style="1" bestFit="1" customWidth="1"/>
    <col min="3" max="3" width="34.44140625" style="1" bestFit="1" customWidth="1"/>
    <col min="4" max="4" width="12" style="1" customWidth="1"/>
    <col min="5" max="5" width="11.6640625" style="1" customWidth="1"/>
    <col min="6" max="6" width="10.109375" style="1" bestFit="1" customWidth="1"/>
    <col min="7" max="7" width="9.44140625" style="1" bestFit="1" customWidth="1"/>
    <col min="8" max="16384" width="9.33203125" style="1"/>
  </cols>
  <sheetData>
    <row r="3" spans="2:11" x14ac:dyDescent="0.3">
      <c r="E3" s="9" t="s">
        <v>80</v>
      </c>
    </row>
    <row r="4" spans="2:11" x14ac:dyDescent="0.3">
      <c r="B4" s="583" t="s">
        <v>81</v>
      </c>
      <c r="C4" s="583"/>
      <c r="D4" s="583"/>
      <c r="E4" s="583"/>
      <c r="F4" s="583"/>
      <c r="G4" s="583"/>
    </row>
    <row r="5" spans="2:11" x14ac:dyDescent="0.3">
      <c r="B5" s="583" t="s">
        <v>1</v>
      </c>
      <c r="C5" s="583" t="s">
        <v>2</v>
      </c>
      <c r="D5" s="583"/>
      <c r="E5" s="583"/>
      <c r="F5" s="583"/>
      <c r="G5" s="583"/>
    </row>
    <row r="6" spans="2:11" x14ac:dyDescent="0.3">
      <c r="B6" s="583"/>
      <c r="C6" s="583"/>
      <c r="D6" s="583" t="s">
        <v>26</v>
      </c>
      <c r="E6" s="583"/>
      <c r="F6" s="583" t="s">
        <v>27</v>
      </c>
      <c r="G6" s="583"/>
      <c r="H6" s="583" t="s">
        <v>28</v>
      </c>
      <c r="I6" s="583"/>
      <c r="J6" s="583" t="s">
        <v>29</v>
      </c>
      <c r="K6" s="583"/>
    </row>
    <row r="7" spans="2:11" ht="69.599999999999994" thickBot="1" x14ac:dyDescent="0.35">
      <c r="B7" s="590"/>
      <c r="C7" s="590"/>
      <c r="D7" s="7" t="s">
        <v>34</v>
      </c>
      <c r="E7" s="7" t="s">
        <v>35</v>
      </c>
      <c r="F7" s="7" t="s">
        <v>34</v>
      </c>
      <c r="G7" s="7" t="s">
        <v>35</v>
      </c>
      <c r="H7" s="7" t="s">
        <v>34</v>
      </c>
      <c r="I7" s="7" t="s">
        <v>35</v>
      </c>
      <c r="J7" s="7" t="s">
        <v>34</v>
      </c>
      <c r="K7" s="7" t="s">
        <v>35</v>
      </c>
    </row>
    <row r="8" spans="2:11" x14ac:dyDescent="0.3">
      <c r="B8" s="6"/>
    </row>
    <row r="9" spans="2:11" x14ac:dyDescent="0.3">
      <c r="B9" s="6">
        <v>1</v>
      </c>
      <c r="C9" s="2" t="s">
        <v>82</v>
      </c>
      <c r="D9" s="10">
        <f>'F1'!H9/'F2'!$D$33*1000</f>
        <v>8.0073645085480916</v>
      </c>
      <c r="E9" s="10">
        <f>'F1'!I9/'F2'!$E$33*1000</f>
        <v>9.0337392370826386</v>
      </c>
      <c r="F9" s="10">
        <f>'F1'!J9/'F2'!$D$33*1000</f>
        <v>8.7322772505120998</v>
      </c>
      <c r="G9" s="10">
        <f>'F1'!K9/'F2'!$G$33*1000</f>
        <v>7.2466274340854095</v>
      </c>
      <c r="H9" s="1">
        <f>('F1'!L9/'F2'!$H$33)*1000</f>
        <v>7.5085230905582891</v>
      </c>
      <c r="I9" s="1">
        <f>('F1'!M9/'F2'!$I$33)*1000</f>
        <v>7.6175003437787243</v>
      </c>
    </row>
    <row r="10" spans="2:11" x14ac:dyDescent="0.3">
      <c r="B10" s="6">
        <v>2</v>
      </c>
      <c r="C10" s="2" t="s">
        <v>83</v>
      </c>
      <c r="D10" s="10">
        <f ca="1">'F1'!H10/'F2'!$D$33*1000</f>
        <v>1.4286190813272752</v>
      </c>
      <c r="E10" s="10">
        <f>'F1'!I10/'F2'!$E$33*1000</f>
        <v>2.085060234835924</v>
      </c>
      <c r="F10" s="10">
        <f>'F1'!J10/'F2'!$D$33*1000</f>
        <v>1.339898417385412</v>
      </c>
      <c r="G10" s="10">
        <f>'F1'!K10/'F2'!$G$33*1000</f>
        <v>1.8713750919055641</v>
      </c>
      <c r="H10" s="1">
        <f>('F1'!L10/'F2'!$H$33)*1000</f>
        <v>1.7778053011652848</v>
      </c>
      <c r="I10" s="1">
        <f>('F1'!M10/'F2'!$I$33)*1000</f>
        <v>2.318984892061466</v>
      </c>
    </row>
    <row r="11" spans="2:11" x14ac:dyDescent="0.3">
      <c r="B11" s="6">
        <v>3</v>
      </c>
      <c r="C11" s="2" t="s">
        <v>40</v>
      </c>
      <c r="D11" s="10">
        <f ca="1">'F1'!H11/'F2'!$D$33*1000</f>
        <v>1.4645401306305668</v>
      </c>
      <c r="E11" s="10">
        <f>'F1'!I11/'F2'!$E$33*1000</f>
        <v>1.9636652781672561</v>
      </c>
      <c r="F11" s="10">
        <f>'F1'!J11/'F2'!$D$33*1000</f>
        <v>1.373222764329429</v>
      </c>
      <c r="G11" s="10">
        <f>'F1'!K11/'F2'!$G$33*1000</f>
        <v>1.8981569253814519</v>
      </c>
      <c r="H11" s="1">
        <f>('F1'!L11/'F2'!$H$33)*1000</f>
        <v>1.8220393168016071</v>
      </c>
      <c r="I11" s="1">
        <f>('F1'!M11/'F2'!$I$33)*1000</f>
        <v>2.1744829824503542</v>
      </c>
    </row>
    <row r="12" spans="2:11" x14ac:dyDescent="0.3">
      <c r="B12" s="6">
        <v>4</v>
      </c>
      <c r="C12" s="2" t="s">
        <v>41</v>
      </c>
      <c r="D12" s="10">
        <f>'F1'!H12/'F2'!$D$33*1000</f>
        <v>2.530486449112566</v>
      </c>
      <c r="E12" s="10">
        <f>'F1'!I12/'F2'!$E$33*1000</f>
        <v>2.530486449112566</v>
      </c>
      <c r="F12" s="10">
        <f>'F1'!J12/'F2'!$D$33*1000</f>
        <v>1.958779146345728</v>
      </c>
      <c r="G12" s="10">
        <f>'F1'!K12/'F2'!$G$33*1000</f>
        <v>1.6798579266093976</v>
      </c>
      <c r="H12" s="1">
        <f>('F1'!L12/'F2'!$H$33)*1000</f>
        <v>2.7955897882155756</v>
      </c>
      <c r="I12" s="1">
        <f>('F1'!M12/'F2'!$I$33)*1000</f>
        <v>2.7955897882155756</v>
      </c>
    </row>
    <row r="13" spans="2:11" x14ac:dyDescent="0.3">
      <c r="B13" s="6">
        <v>5</v>
      </c>
      <c r="C13" s="2" t="s">
        <v>42</v>
      </c>
      <c r="D13" s="10">
        <f>'F1'!H13/'F2'!$D$33*1000</f>
        <v>0.6045988659843089</v>
      </c>
      <c r="E13" s="10">
        <f>'F1'!I13/'F2'!$E$33*1000</f>
        <v>0</v>
      </c>
      <c r="F13" s="10">
        <f>'F1'!J13/'F2'!$D$33*1000</f>
        <v>0.65956239925560978</v>
      </c>
      <c r="G13" s="10">
        <f>'F1'!K13/'F2'!$G$33*1000</f>
        <v>0</v>
      </c>
      <c r="H13" s="1">
        <f>('F1'!L13/'F2'!$H$33)*1000</f>
        <v>0.66793363610846823</v>
      </c>
      <c r="I13" s="1">
        <f>('F1'!M13/'F2'!$I$33)*1000</f>
        <v>0</v>
      </c>
    </row>
    <row r="14" spans="2:11" ht="27.6" x14ac:dyDescent="0.3">
      <c r="B14" s="6">
        <v>6</v>
      </c>
      <c r="C14" s="3" t="s">
        <v>43</v>
      </c>
      <c r="D14" s="10">
        <f>'F1'!H14/'F2'!$D$33*1000</f>
        <v>0</v>
      </c>
      <c r="E14" s="10">
        <f>'F1'!I14/'F2'!$E$33*1000</f>
        <v>0.7163964277313728</v>
      </c>
      <c r="G14" s="10">
        <f>'F1'!K14/'F2'!$G$33*1000</f>
        <v>0.5509896781852015</v>
      </c>
      <c r="H14" s="1">
        <f>('F1'!L14/'F2'!$H$33)*1000</f>
        <v>0</v>
      </c>
      <c r="I14" s="1">
        <f>('F1'!M14/'F2'!$I$33)*1000</f>
        <v>0.43468482519923402</v>
      </c>
    </row>
    <row r="15" spans="2:11" x14ac:dyDescent="0.3">
      <c r="B15" s="6">
        <v>7</v>
      </c>
      <c r="C15" s="4" t="s">
        <v>14</v>
      </c>
      <c r="D15" s="10">
        <f>'F1'!H15/'F2'!$D$33*1000</f>
        <v>9.8684935807140057</v>
      </c>
      <c r="E15" s="10">
        <f>'F1'!I15/'F2'!$E$33*1000</f>
        <v>9.0241276731305735</v>
      </c>
      <c r="F15" s="10">
        <f>'F1'!J15/'F2'!$D$33*1000</f>
        <v>10.272554533288158</v>
      </c>
      <c r="G15" s="10">
        <f>'F1'!K15/'F2'!$G$33*1000</f>
        <v>8.6108031952639852</v>
      </c>
      <c r="H15" s="1">
        <f>('F1'!L15/'F2'!$H$33)*1000</f>
        <v>9.7363089689694355</v>
      </c>
      <c r="I15" s="1">
        <f>('F1'!M15/'F2'!$I$33)*1000</f>
        <v>10.017973396078926</v>
      </c>
    </row>
    <row r="16" spans="2:11" x14ac:dyDescent="0.3">
      <c r="B16" s="6">
        <v>8</v>
      </c>
      <c r="C16" s="2" t="s">
        <v>44</v>
      </c>
      <c r="D16" s="10">
        <f>'F1'!H16/'F2'!$D$33*1000</f>
        <v>10.973231386565608</v>
      </c>
      <c r="E16" s="10">
        <f>'F1'!I16/'F2'!$E$33*1000</f>
        <v>8.6487827032758275</v>
      </c>
      <c r="F16" s="10">
        <f>'F1'!J16/'F2'!$D$33*1000</f>
        <v>10.408015839696956</v>
      </c>
      <c r="G16" s="10">
        <f>'F1'!K16/'F2'!$G$33*1000</f>
        <v>7.2661464050446707</v>
      </c>
      <c r="H16" s="1">
        <f>('F1'!L16/'F2'!$H$33)*1000</f>
        <v>7.9930866254834587</v>
      </c>
      <c r="I16" s="1">
        <f>('F1'!M16/'F2'!$I$33)*1000</f>
        <v>7.7314582603905668</v>
      </c>
    </row>
    <row r="17" spans="2:9" x14ac:dyDescent="0.3">
      <c r="B17" s="6">
        <v>9</v>
      </c>
      <c r="C17" s="2" t="s">
        <v>45</v>
      </c>
      <c r="D17" s="10">
        <f>'F1'!H17/'F2'!$D$33*1000</f>
        <v>0.67038199241925167</v>
      </c>
      <c r="E17" s="10">
        <f>'F1'!I17/'F2'!$E$33*1000</f>
        <v>0.64547666611826382</v>
      </c>
      <c r="F17" s="10">
        <f>'F1'!J17/'F2'!$D$33*1000</f>
        <v>0.70110963700399453</v>
      </c>
      <c r="G17" s="10">
        <f>'F1'!K17/'F2'!$G$33*1000</f>
        <v>0.50115681054758632</v>
      </c>
      <c r="H17" s="1">
        <f>('F1'!L17/'F2'!$H$33)*1000</f>
        <v>0.62932940428040507</v>
      </c>
      <c r="I17" s="1">
        <f>('F1'!M17/'F2'!$I$33)*1000</f>
        <v>0.53955694868885928</v>
      </c>
    </row>
    <row r="18" spans="2:9" x14ac:dyDescent="0.3">
      <c r="B18" s="6">
        <v>10</v>
      </c>
      <c r="C18" s="5" t="s">
        <v>46</v>
      </c>
      <c r="D18" s="10">
        <f>'F1'!H18/'F2'!$D$33*1000</f>
        <v>0</v>
      </c>
      <c r="E18" s="10">
        <f>'F1'!I18/'F2'!$E$33*1000</f>
        <v>0</v>
      </c>
      <c r="G18" s="10">
        <f>'F1'!K18/'F2'!$G$33*1000</f>
        <v>0</v>
      </c>
      <c r="H18" s="1">
        <f>('F1'!L18/'F2'!$H$33)*1000</f>
        <v>0</v>
      </c>
      <c r="I18" s="1">
        <f>('F1'!M18/'F2'!$I$33)*1000</f>
        <v>0</v>
      </c>
    </row>
    <row r="19" spans="2:9" x14ac:dyDescent="0.3">
      <c r="B19" s="6">
        <v>11</v>
      </c>
      <c r="C19" s="2" t="s">
        <v>47</v>
      </c>
      <c r="D19" s="10">
        <f>'F1'!H19/'F2'!$D$33*1000</f>
        <v>8.4154049074878365</v>
      </c>
      <c r="E19" s="10">
        <f>'F1'!I19/'F2'!$E$33*1000</f>
        <v>7.6292646239066997</v>
      </c>
      <c r="F19" s="10">
        <f>'F1'!J19/'F2'!$D$33*1000</f>
        <v>8.7768539743463041</v>
      </c>
      <c r="G19" s="10">
        <f>'F1'!K19/'F2'!$G$33*1000</f>
        <v>7.3684518358669147</v>
      </c>
      <c r="H19" s="1">
        <f>('F1'!L19/'F2'!$H$33)*1000</f>
        <v>8.2838247464385564</v>
      </c>
      <c r="I19" s="1">
        <f>('F1'!M19/'F2'!$I$33)*1000</f>
        <v>8.6641307818534958</v>
      </c>
    </row>
    <row r="20" spans="2:9" x14ac:dyDescent="0.3">
      <c r="B20" s="6">
        <v>12</v>
      </c>
      <c r="C20" s="2" t="s">
        <v>84</v>
      </c>
      <c r="D20" s="10">
        <f>'F1'!H20/'F2'!$D$33*1000</f>
        <v>0</v>
      </c>
      <c r="E20" s="10">
        <f>'F1'!I20/'F2'!$E$33*1000</f>
        <v>0.95183611353663355</v>
      </c>
      <c r="G20" s="10">
        <f>'F1'!K20/'F2'!$G$33*1000</f>
        <v>-0.27799681551710981</v>
      </c>
      <c r="H20" s="1">
        <f>('F1'!L20/'F2'!$H$33)*1000</f>
        <v>0</v>
      </c>
      <c r="I20" s="1">
        <f>('F1'!M20/'F2'!$I$33)*1000</f>
        <v>-0.35934070751291863</v>
      </c>
    </row>
    <row r="21" spans="2:9" x14ac:dyDescent="0.3">
      <c r="B21" s="6">
        <v>13</v>
      </c>
      <c r="C21" s="189" t="s">
        <v>85</v>
      </c>
      <c r="D21" s="10">
        <f>'F1'!H21/'F2'!$D$33*1000</f>
        <v>0</v>
      </c>
      <c r="E21" s="10">
        <f ca="1">'F1'!I21/'F2'!$E$33*1000</f>
        <v>0.15777214175097209</v>
      </c>
      <c r="G21" s="10">
        <f ca="1">'F1'!K21/'F2'!$G$33*1000</f>
        <v>0.13530610809950538</v>
      </c>
      <c r="H21" s="1">
        <f>('F1'!L21/'F2'!$H$33)*1000</f>
        <v>0</v>
      </c>
      <c r="I21" s="1">
        <f>('F1'!M21/'F2'!$I$33)*1000</f>
        <v>0.14557012418498824</v>
      </c>
    </row>
    <row r="22" spans="2:9" ht="14.4" thickBot="1" x14ac:dyDescent="0.35">
      <c r="B22" s="6">
        <v>14</v>
      </c>
      <c r="C22" s="2" t="s">
        <v>50</v>
      </c>
      <c r="D22" s="10"/>
      <c r="E22" s="10">
        <f>'F1'!I22/'F2'!$E$33*1000</f>
        <v>0.91308458150702865</v>
      </c>
      <c r="G22" s="10">
        <f>'F1'!K22/'F2'!$G$33*1000</f>
        <v>0.47302145022710995</v>
      </c>
      <c r="H22" s="1">
        <f>('F1'!L22/'F2'!$H$33)*1000</f>
        <v>0</v>
      </c>
      <c r="I22" s="1">
        <f>('F1'!M22/'F2'!$I$33)*1000</f>
        <v>7.9803083430786639E-2</v>
      </c>
    </row>
    <row r="23" spans="2:9" ht="14.4" thickBot="1" x14ac:dyDescent="0.35">
      <c r="B23" s="14">
        <v>15</v>
      </c>
      <c r="C23" s="15" t="s">
        <v>86</v>
      </c>
      <c r="D23" s="16">
        <f ca="1">SUM(D9:D13)+SUM(D15:D22)-D14</f>
        <v>43.963120902789512</v>
      </c>
      <c r="E23" s="16">
        <f ca="1">SUM(E9:E13)+SUM(E15:E22)-E14</f>
        <v>42.866899274693004</v>
      </c>
      <c r="F23" s="16">
        <f>SUM(F9:F13)+SUM(F15:F22)-F14</f>
        <v>44.22227396216369</v>
      </c>
      <c r="G23" s="16">
        <f t="shared" ref="G23:I23" ca="1" si="0">SUM(G9:G13)+SUM(G15:G22)-G14</f>
        <v>36.221916689329284</v>
      </c>
      <c r="H23" s="16">
        <f t="shared" si="0"/>
        <v>41.21444087802108</v>
      </c>
      <c r="I23" s="16">
        <f t="shared" si="0"/>
        <v>41.29102506842159</v>
      </c>
    </row>
    <row r="24" spans="2:9" x14ac:dyDescent="0.3">
      <c r="B24" s="6"/>
      <c r="C24" s="2"/>
      <c r="D24" s="10"/>
      <c r="E24" s="10"/>
    </row>
    <row r="25" spans="2:9" x14ac:dyDescent="0.3">
      <c r="B25" s="6">
        <v>16</v>
      </c>
      <c r="C25" s="2" t="s">
        <v>52</v>
      </c>
      <c r="D25" s="10">
        <f>'F1'!H25/'F2'!$D$33*1000</f>
        <v>0.96727162882958517</v>
      </c>
      <c r="E25" s="10">
        <f>'F1'!I25/'F2'!$E$33*1000</f>
        <v>1.0466783141557199</v>
      </c>
      <c r="F25" s="10">
        <f>'F1'!J25/'F2'!$D$33*1000</f>
        <v>0.96727162882958517</v>
      </c>
      <c r="G25" s="10">
        <f>'F1'!K25/'F2'!$G$33*1000</f>
        <v>0.5011041510601596</v>
      </c>
      <c r="H25" s="1">
        <f>('F1'!L25/'F2'!$H$33)*1000</f>
        <v>0.89875477224709599</v>
      </c>
      <c r="I25" s="1">
        <f>('F1'!M25/'F2'!$I$33)*1000</f>
        <v>2.8813812766660716</v>
      </c>
    </row>
    <row r="26" spans="2:9" ht="14.4" thickBot="1" x14ac:dyDescent="0.35">
      <c r="B26" s="6"/>
      <c r="C26" s="2"/>
      <c r="D26" s="10"/>
      <c r="E26" s="10"/>
    </row>
    <row r="27" spans="2:9" ht="14.4" thickBot="1" x14ac:dyDescent="0.35">
      <c r="B27" s="14">
        <v>17</v>
      </c>
      <c r="C27" s="18" t="s">
        <v>87</v>
      </c>
      <c r="D27" s="16">
        <f ca="1">D23-D25</f>
        <v>42.995849273959927</v>
      </c>
      <c r="E27" s="16">
        <f ca="1">E23-E25</f>
        <v>41.820220960537284</v>
      </c>
      <c r="F27" s="16">
        <f>F23-F25</f>
        <v>43.255002333334104</v>
      </c>
      <c r="G27" s="16">
        <f ca="1">G23-G25</f>
        <v>35.720812538269122</v>
      </c>
      <c r="H27" s="16">
        <f>H23-H25</f>
        <v>40.315686105773985</v>
      </c>
      <c r="I27" s="1">
        <f>('F1'!M27/'F2'!$I$33)*1000</f>
        <v>38.409643791755514</v>
      </c>
    </row>
    <row r="28" spans="2:9" ht="14.4" thickBot="1" x14ac:dyDescent="0.35">
      <c r="B28" s="6"/>
      <c r="D28" s="10"/>
      <c r="E28" s="10"/>
    </row>
    <row r="29" spans="2:9" ht="14.4" thickBot="1" x14ac:dyDescent="0.35">
      <c r="B29" s="14">
        <v>18</v>
      </c>
      <c r="C29" s="18" t="s">
        <v>54</v>
      </c>
      <c r="D29" s="16">
        <f>'F1'!H29/'F2'!$D$33*1000</f>
        <v>42.995332097406695</v>
      </c>
      <c r="E29" s="16">
        <f>'F1'!I29/'F2'!$E$33*1000</f>
        <v>41.697846485222762</v>
      </c>
      <c r="F29" s="16">
        <f>'F1'!J29/'F2'!$E$33*1000</f>
        <v>44.430442934632154</v>
      </c>
      <c r="G29" s="16">
        <f>'F1'!K29/'F2'!$G$33*1000</f>
        <v>30.317612650351716</v>
      </c>
      <c r="H29" s="1">
        <f>('F1'!L29/'F2'!$H$33)*1000</f>
        <v>0</v>
      </c>
      <c r="I29" s="1">
        <f>('F1'!M29/'F2'!$I$33)*1000</f>
        <v>37.28686241966502</v>
      </c>
    </row>
    <row r="30" spans="2:9" ht="14.4" thickBot="1" x14ac:dyDescent="0.35">
      <c r="B30" s="6"/>
      <c r="C30" s="8"/>
      <c r="D30" s="11"/>
      <c r="E30" s="11"/>
    </row>
    <row r="31" spans="2:9" ht="14.4" thickBot="1" x14ac:dyDescent="0.35">
      <c r="B31" s="14">
        <v>19</v>
      </c>
      <c r="C31" s="18" t="s">
        <v>55</v>
      </c>
      <c r="D31" s="16">
        <f ca="1">D29-D27</f>
        <v>-5.1717655323102463E-4</v>
      </c>
      <c r="E31" s="16">
        <f ca="1">'F1'!I31/'F2'!$E$33*1000</f>
        <v>-0.12237447531452794</v>
      </c>
      <c r="F31" s="16">
        <f>'F1'!J31/'F2'!$E$33*1000</f>
        <v>0</v>
      </c>
      <c r="G31" s="16">
        <f ca="1">'F1'!K31/'F2'!$G$33*1000</f>
        <v>5.4031998879174061</v>
      </c>
      <c r="H31" s="1">
        <f>('F1'!L31/'F2'!$H$33)*1000</f>
        <v>0</v>
      </c>
      <c r="I31" s="1">
        <f>('F1'!M31/'F2'!$I$33)*1000</f>
        <v>0</v>
      </c>
    </row>
    <row r="32" spans="2:9" ht="14.4" thickBot="1" x14ac:dyDescent="0.35">
      <c r="D32" s="10"/>
      <c r="E32" s="10"/>
    </row>
    <row r="33" spans="2:9" ht="14.4" thickBot="1" x14ac:dyDescent="0.35">
      <c r="B33" s="14">
        <v>20</v>
      </c>
      <c r="C33" s="18" t="s">
        <v>88</v>
      </c>
      <c r="D33" s="16">
        <f>E33</f>
        <v>23106.2292471494</v>
      </c>
      <c r="E33" s="16">
        <f>'[26]Transmission_Loss_Annex-IX'!$Q$10</f>
        <v>23106.2292471494</v>
      </c>
      <c r="F33" s="16">
        <v>24178</v>
      </c>
      <c r="G33" s="16">
        <f>'[27]Rev Tr. Loss Annex -IX (3.10.20'!$Q$13</f>
        <v>26942.754671731178</v>
      </c>
      <c r="H33" s="461">
        <v>24867.74</v>
      </c>
      <c r="I33" s="1">
        <v>24867.74</v>
      </c>
    </row>
  </sheetData>
  <mergeCells count="9">
    <mergeCell ref="J6:K6"/>
    <mergeCell ref="B4:G4"/>
    <mergeCell ref="F5:G5"/>
    <mergeCell ref="F6:G6"/>
    <mergeCell ref="H6:I6"/>
    <mergeCell ref="B5:B7"/>
    <mergeCell ref="C5:C7"/>
    <mergeCell ref="D5:E5"/>
    <mergeCell ref="D6:E6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B2:AC208"/>
  <sheetViews>
    <sheetView showGridLines="0" topLeftCell="A31" zoomScaleNormal="100" zoomScaleSheetLayoutView="100" workbookViewId="0">
      <selection activeCell="M106" sqref="M106:O107"/>
    </sheetView>
  </sheetViews>
  <sheetFormatPr defaultColWidth="9.33203125" defaultRowHeight="13.8" x14ac:dyDescent="0.3"/>
  <cols>
    <col min="1" max="1" width="2.44140625" style="1" customWidth="1"/>
    <col min="2" max="2" width="5.6640625" style="1" bestFit="1" customWidth="1"/>
    <col min="3" max="3" width="48.33203125" style="1" customWidth="1"/>
    <col min="4" max="4" width="10.6640625" style="1" customWidth="1"/>
    <col min="5" max="5" width="13" style="1" customWidth="1"/>
    <col min="6" max="11" width="13.33203125" style="1" customWidth="1"/>
    <col min="12" max="12" width="14" style="1" customWidth="1"/>
    <col min="13" max="13" width="12.6640625" style="1" customWidth="1"/>
    <col min="14" max="14" width="14.6640625" style="1" customWidth="1"/>
    <col min="15" max="15" width="14.44140625" style="1" customWidth="1"/>
    <col min="16" max="16" width="14.5546875" style="1" customWidth="1"/>
    <col min="17" max="17" width="13.33203125" style="1" customWidth="1"/>
    <col min="18" max="19" width="12.5546875" style="1" customWidth="1"/>
    <col min="20" max="20" width="5.6640625" style="1" customWidth="1"/>
    <col min="21" max="28" width="9.33203125" style="1"/>
    <col min="29" max="29" width="10.88671875" style="1" bestFit="1" customWidth="1"/>
    <col min="30" max="16384" width="9.33203125" style="1"/>
  </cols>
  <sheetData>
    <row r="2" spans="2:6" ht="15.75" customHeight="1" thickBot="1" x14ac:dyDescent="0.35">
      <c r="B2" s="590" t="s">
        <v>89</v>
      </c>
      <c r="C2" s="590"/>
      <c r="D2" s="590"/>
      <c r="E2" s="590"/>
      <c r="F2" s="590"/>
    </row>
    <row r="3" spans="2:6" ht="14.4" thickBot="1" x14ac:dyDescent="0.35">
      <c r="B3" s="13" t="s">
        <v>1</v>
      </c>
      <c r="C3" s="13" t="s">
        <v>2</v>
      </c>
      <c r="D3" s="13" t="s">
        <v>90</v>
      </c>
      <c r="E3" s="13" t="s">
        <v>91</v>
      </c>
      <c r="F3" s="13" t="s">
        <v>92</v>
      </c>
    </row>
    <row r="4" spans="2:6" x14ac:dyDescent="0.3">
      <c r="B4" s="606" t="s">
        <v>93</v>
      </c>
      <c r="C4" s="606"/>
      <c r="D4" s="606"/>
      <c r="E4" s="606"/>
      <c r="F4" s="606"/>
    </row>
    <row r="5" spans="2:6" x14ac:dyDescent="0.3">
      <c r="B5" s="19">
        <v>1</v>
      </c>
      <c r="C5" s="1" t="s">
        <v>94</v>
      </c>
      <c r="D5" s="298">
        <v>160</v>
      </c>
      <c r="E5" s="298">
        <v>132</v>
      </c>
      <c r="F5" s="298">
        <v>28</v>
      </c>
    </row>
    <row r="6" spans="2:6" x14ac:dyDescent="0.3">
      <c r="B6" s="19">
        <v>2</v>
      </c>
      <c r="C6" s="1" t="s">
        <v>95</v>
      </c>
      <c r="D6" s="298">
        <v>241</v>
      </c>
      <c r="E6" s="298">
        <v>195</v>
      </c>
      <c r="F6" s="298">
        <v>46</v>
      </c>
    </row>
    <row r="7" spans="2:6" x14ac:dyDescent="0.3">
      <c r="B7" s="19">
        <v>3</v>
      </c>
      <c r="C7" s="1" t="s">
        <v>96</v>
      </c>
      <c r="D7" s="298">
        <v>1543</v>
      </c>
      <c r="E7" s="298">
        <v>779</v>
      </c>
      <c r="F7" s="298">
        <v>764</v>
      </c>
    </row>
    <row r="8" spans="2:6" ht="14.4" thickBot="1" x14ac:dyDescent="0.35">
      <c r="B8" s="19">
        <v>4</v>
      </c>
      <c r="C8" s="1" t="s">
        <v>97</v>
      </c>
      <c r="D8" s="298">
        <v>1141</v>
      </c>
      <c r="E8" s="298">
        <v>521</v>
      </c>
      <c r="F8" s="298">
        <v>620</v>
      </c>
    </row>
    <row r="9" spans="2:6" ht="14.4" thickBot="1" x14ac:dyDescent="0.35">
      <c r="B9" s="14">
        <v>5</v>
      </c>
      <c r="C9" s="18" t="s">
        <v>98</v>
      </c>
      <c r="D9" s="25">
        <f>SUM(D5:D8)</f>
        <v>3085</v>
      </c>
      <c r="E9" s="25">
        <f>SUM(E5:E8)</f>
        <v>1627</v>
      </c>
      <c r="F9" s="25">
        <f>SUM(F5:F8)</f>
        <v>1458</v>
      </c>
    </row>
    <row r="10" spans="2:6" x14ac:dyDescent="0.3">
      <c r="B10" s="19"/>
      <c r="D10" s="21"/>
      <c r="E10" s="21"/>
      <c r="F10" s="21"/>
    </row>
    <row r="11" spans="2:6" x14ac:dyDescent="0.3">
      <c r="B11" s="606" t="s">
        <v>99</v>
      </c>
      <c r="C11" s="606"/>
      <c r="D11" s="606"/>
      <c r="E11" s="606"/>
      <c r="F11" s="606"/>
    </row>
    <row r="12" spans="2:6" x14ac:dyDescent="0.3">
      <c r="B12" s="19">
        <v>1</v>
      </c>
      <c r="C12" s="1" t="s">
        <v>94</v>
      </c>
      <c r="D12" s="20">
        <v>20</v>
      </c>
      <c r="E12" s="292">
        <v>15</v>
      </c>
      <c r="F12" s="20">
        <v>5</v>
      </c>
    </row>
    <row r="13" spans="2:6" x14ac:dyDescent="0.3">
      <c r="B13" s="19">
        <v>2</v>
      </c>
      <c r="C13" s="1" t="s">
        <v>95</v>
      </c>
      <c r="D13" s="20">
        <v>24</v>
      </c>
      <c r="E13" s="292">
        <v>14</v>
      </c>
      <c r="F13" s="20">
        <v>10</v>
      </c>
    </row>
    <row r="14" spans="2:6" x14ac:dyDescent="0.3">
      <c r="B14" s="19">
        <v>3</v>
      </c>
      <c r="C14" s="1" t="s">
        <v>96</v>
      </c>
      <c r="D14" s="20">
        <v>23</v>
      </c>
      <c r="E14" s="292">
        <v>15</v>
      </c>
      <c r="F14" s="20">
        <v>8</v>
      </c>
    </row>
    <row r="15" spans="2:6" ht="14.4" thickBot="1" x14ac:dyDescent="0.35">
      <c r="B15" s="19">
        <v>4</v>
      </c>
      <c r="C15" s="1" t="s">
        <v>97</v>
      </c>
      <c r="D15" s="20">
        <v>9</v>
      </c>
      <c r="E15" s="292">
        <v>2</v>
      </c>
      <c r="F15" s="20">
        <v>7</v>
      </c>
    </row>
    <row r="16" spans="2:6" ht="14.4" thickBot="1" x14ac:dyDescent="0.35">
      <c r="B16" s="14">
        <v>5</v>
      </c>
      <c r="C16" s="18" t="s">
        <v>98</v>
      </c>
      <c r="D16" s="25">
        <f>SUM(D12:D15)</f>
        <v>76</v>
      </c>
      <c r="E16" s="25">
        <f>SUM(E12:E15)</f>
        <v>46</v>
      </c>
      <c r="F16" s="25">
        <f>SUM(F12:F15)</f>
        <v>30</v>
      </c>
    </row>
    <row r="17" spans="2:19" x14ac:dyDescent="0.3">
      <c r="B17" s="22"/>
      <c r="C17" s="23"/>
      <c r="D17" s="24"/>
      <c r="E17" s="24"/>
      <c r="F17" s="24"/>
    </row>
    <row r="18" spans="2:19" x14ac:dyDescent="0.3">
      <c r="B18" s="606" t="s">
        <v>100</v>
      </c>
      <c r="C18" s="606"/>
      <c r="D18" s="606"/>
      <c r="E18" s="606"/>
      <c r="F18" s="606"/>
    </row>
    <row r="19" spans="2:19" x14ac:dyDescent="0.3">
      <c r="B19" s="19">
        <v>1</v>
      </c>
      <c r="C19" s="1" t="s">
        <v>94</v>
      </c>
      <c r="D19" s="20">
        <v>180</v>
      </c>
      <c r="E19" s="20">
        <v>147</v>
      </c>
      <c r="F19" s="20">
        <v>33</v>
      </c>
    </row>
    <row r="20" spans="2:19" x14ac:dyDescent="0.3">
      <c r="B20" s="19">
        <v>2</v>
      </c>
      <c r="C20" s="1" t="s">
        <v>95</v>
      </c>
      <c r="D20" s="20">
        <v>265</v>
      </c>
      <c r="E20" s="20">
        <v>209</v>
      </c>
      <c r="F20" s="20">
        <v>56</v>
      </c>
    </row>
    <row r="21" spans="2:19" x14ac:dyDescent="0.3">
      <c r="B21" s="19">
        <v>3</v>
      </c>
      <c r="C21" s="1" t="s">
        <v>96</v>
      </c>
      <c r="D21" s="20">
        <v>1566</v>
      </c>
      <c r="E21" s="20">
        <v>794</v>
      </c>
      <c r="F21" s="20">
        <v>772</v>
      </c>
    </row>
    <row r="22" spans="2:19" ht="14.4" thickBot="1" x14ac:dyDescent="0.35">
      <c r="B22" s="19">
        <v>4</v>
      </c>
      <c r="C22" s="1" t="s">
        <v>97</v>
      </c>
      <c r="D22" s="20">
        <v>1150</v>
      </c>
      <c r="E22" s="20">
        <v>523</v>
      </c>
      <c r="F22" s="20">
        <v>627</v>
      </c>
    </row>
    <row r="23" spans="2:19" ht="14.4" thickBot="1" x14ac:dyDescent="0.35">
      <c r="B23" s="14">
        <v>5</v>
      </c>
      <c r="C23" s="18" t="s">
        <v>98</v>
      </c>
      <c r="D23" s="25">
        <f>SUM(D19:D22)</f>
        <v>3161</v>
      </c>
      <c r="E23" s="25">
        <f>SUM(E19:E22)</f>
        <v>1673</v>
      </c>
      <c r="F23" s="25">
        <f>SUM(F19:F22)</f>
        <v>1488</v>
      </c>
    </row>
    <row r="24" spans="2:19" x14ac:dyDescent="0.3">
      <c r="E24" s="145">
        <f>E16/(E9+E16)</f>
        <v>2.7495517035265989E-2</v>
      </c>
    </row>
    <row r="26" spans="2:19" ht="14.7" customHeight="1" x14ac:dyDescent="0.3">
      <c r="B26" s="19"/>
      <c r="E26" s="9" t="s">
        <v>101</v>
      </c>
      <c r="F26" s="26"/>
      <c r="G26" s="26"/>
      <c r="H26" s="27"/>
    </row>
    <row r="27" spans="2:19" x14ac:dyDescent="0.3">
      <c r="B27" s="583" t="s">
        <v>38</v>
      </c>
      <c r="C27" s="583"/>
      <c r="D27" s="583"/>
      <c r="E27" s="583"/>
      <c r="F27" s="583"/>
      <c r="G27" s="583"/>
      <c r="H27" s="454"/>
      <c r="I27" s="186"/>
    </row>
    <row r="28" spans="2:19" x14ac:dyDescent="0.3">
      <c r="B28" s="583" t="s">
        <v>1</v>
      </c>
      <c r="C28" s="583" t="s">
        <v>2</v>
      </c>
      <c r="D28" s="583"/>
      <c r="E28" s="583"/>
      <c r="F28" s="583"/>
      <c r="G28" s="583"/>
      <c r="H28" s="455"/>
      <c r="I28" s="186"/>
    </row>
    <row r="29" spans="2:19" x14ac:dyDescent="0.3">
      <c r="B29" s="583"/>
      <c r="C29" s="583"/>
      <c r="D29" s="598" t="s">
        <v>26</v>
      </c>
      <c r="E29" s="598"/>
      <c r="F29" s="598" t="s">
        <v>27</v>
      </c>
      <c r="G29" s="598"/>
      <c r="H29" s="598" t="s">
        <v>28</v>
      </c>
      <c r="I29" s="598"/>
      <c r="J29" s="598" t="s">
        <v>29</v>
      </c>
      <c r="K29" s="598"/>
    </row>
    <row r="30" spans="2:19" ht="97.2" thickBot="1" x14ac:dyDescent="0.35">
      <c r="B30" s="590"/>
      <c r="C30" s="590"/>
      <c r="D30" s="485" t="s">
        <v>34</v>
      </c>
      <c r="E30" s="485" t="s">
        <v>35</v>
      </c>
      <c r="F30" s="485" t="s">
        <v>34</v>
      </c>
      <c r="G30" s="485" t="s">
        <v>35</v>
      </c>
      <c r="H30" s="485" t="s">
        <v>36</v>
      </c>
      <c r="I30" s="485" t="s">
        <v>35</v>
      </c>
      <c r="J30" s="485" t="s">
        <v>37</v>
      </c>
      <c r="K30" s="485" t="s">
        <v>35</v>
      </c>
      <c r="M30" s="594" t="s">
        <v>1</v>
      </c>
      <c r="N30" s="594" t="s">
        <v>2</v>
      </c>
      <c r="O30" s="245" t="s">
        <v>25</v>
      </c>
      <c r="P30" s="594" t="s">
        <v>26</v>
      </c>
      <c r="Q30" s="594"/>
      <c r="R30" s="594" t="s">
        <v>27</v>
      </c>
      <c r="S30" s="594"/>
    </row>
    <row r="31" spans="2:19" ht="39.6" x14ac:dyDescent="0.3">
      <c r="M31" s="594"/>
      <c r="N31" s="594"/>
      <c r="O31" s="245" t="s">
        <v>102</v>
      </c>
      <c r="P31" s="245" t="s">
        <v>103</v>
      </c>
      <c r="Q31" s="245" t="s">
        <v>104</v>
      </c>
      <c r="R31" s="245" t="s">
        <v>103</v>
      </c>
      <c r="S31" s="245" t="s">
        <v>104</v>
      </c>
    </row>
    <row r="32" spans="2:19" ht="27.6" x14ac:dyDescent="0.3">
      <c r="B32" s="19">
        <v>1</v>
      </c>
      <c r="C32" s="29" t="s">
        <v>105</v>
      </c>
      <c r="D32" s="10"/>
      <c r="E32" s="146">
        <f>'[22]35. employee benefit exp'!$F$18/10^7-'[22]35. employee benefit exp'!$F$10/10^7-'[22]35. employee benefit exp'!$F$17/10^7</f>
        <v>217.85708047099996</v>
      </c>
      <c r="G32" s="478">
        <f>('[23]35. employee benefit exp'!$F$18-'[23]35. employee benefit exp'!$F$17-'[23]35. employee benefit exp'!$F$10)/10^7</f>
        <v>203.53629656999999</v>
      </c>
      <c r="H32" s="203">
        <v>186.72</v>
      </c>
      <c r="I32" s="495">
        <f>('[24]35. employee benefit exp'!$F$8+'[24]35. employee benefit exp'!$F$9+'[24]35. employee benefit exp'!$F$11+'[24]35. employee benefit exp'!$F$15+'[24]35. employee benefit exp'!$F$16)/10^7</f>
        <v>198.34359839899994</v>
      </c>
      <c r="J32" s="203">
        <v>196.37</v>
      </c>
      <c r="K32" s="203">
        <f>'[25]35. employee benefit exp'!$F$19/10^2</f>
        <v>197.77585421500004</v>
      </c>
      <c r="M32" s="246">
        <v>1</v>
      </c>
      <c r="N32" s="247" t="s">
        <v>106</v>
      </c>
      <c r="O32" s="248">
        <f>'F1'!G9</f>
        <v>178.31066862600005</v>
      </c>
      <c r="P32" s="248">
        <f>'F1'!H9</f>
        <v>185.02</v>
      </c>
      <c r="Q32" s="248">
        <f>E35</f>
        <v>208.73564977099997</v>
      </c>
      <c r="R32" s="248"/>
      <c r="S32" s="248"/>
    </row>
    <row r="33" spans="2:19" x14ac:dyDescent="0.3">
      <c r="B33" s="19">
        <v>2</v>
      </c>
      <c r="C33" s="1" t="s">
        <v>107</v>
      </c>
      <c r="D33" s="10"/>
      <c r="E33" s="146">
        <f>[28]F2!$E$31</f>
        <v>9.1214306999999994</v>
      </c>
      <c r="G33" s="10">
        <f>'[23]Segment Note'!$C$19/10^7</f>
        <v>8.2921914160000014</v>
      </c>
      <c r="I33" s="480">
        <f>'[24]Segment Note'!$C$19/10^7</f>
        <v>8.9135804000000007</v>
      </c>
      <c r="K33" s="203">
        <f>'[25]Segment Note'!$C$19/10^2</f>
        <v>9.4598075000000001</v>
      </c>
      <c r="M33" s="246">
        <v>2</v>
      </c>
      <c r="N33" s="247" t="s">
        <v>108</v>
      </c>
      <c r="O33" s="248">
        <f>'F1'!G10</f>
        <v>45.722943782000002</v>
      </c>
      <c r="P33" s="248">
        <f ca="1">'F1'!H10</f>
        <v>33.01</v>
      </c>
      <c r="Q33" s="248">
        <f>M58</f>
        <v>0</v>
      </c>
      <c r="R33" s="248"/>
      <c r="S33" s="248"/>
    </row>
    <row r="34" spans="2:19" ht="14.4" thickBot="1" x14ac:dyDescent="0.35">
      <c r="B34" s="19">
        <v>3</v>
      </c>
      <c r="C34" s="1" t="s">
        <v>109</v>
      </c>
      <c r="D34" s="10"/>
      <c r="E34" s="146"/>
      <c r="K34" s="203"/>
      <c r="M34" s="246">
        <v>3</v>
      </c>
      <c r="N34" s="247" t="s">
        <v>110</v>
      </c>
      <c r="O34" s="248">
        <f>'F1'!G11</f>
        <v>41.642235699000011</v>
      </c>
      <c r="P34" s="248">
        <f ca="1">'F1'!H11</f>
        <v>33.840000000000003</v>
      </c>
      <c r="Q34" s="248">
        <f>M61</f>
        <v>0</v>
      </c>
      <c r="R34" s="248"/>
      <c r="S34" s="248"/>
    </row>
    <row r="35" spans="2:19" ht="14.4" thickBot="1" x14ac:dyDescent="0.35">
      <c r="B35" s="14">
        <v>4</v>
      </c>
      <c r="C35" s="18" t="s">
        <v>111</v>
      </c>
      <c r="D35" s="17">
        <v>185.02</v>
      </c>
      <c r="E35" s="17">
        <f>E32-E33-E34</f>
        <v>208.73564977099997</v>
      </c>
      <c r="F35" s="17">
        <f t="shared" ref="F35:K35" si="0">F32-F33-F34</f>
        <v>0</v>
      </c>
      <c r="G35" s="17">
        <f t="shared" si="0"/>
        <v>195.24410515399998</v>
      </c>
      <c r="H35" s="17">
        <f t="shared" si="0"/>
        <v>186.72</v>
      </c>
      <c r="I35" s="17">
        <f t="shared" si="0"/>
        <v>189.43001799899994</v>
      </c>
      <c r="K35" s="560">
        <f t="shared" si="0"/>
        <v>188.31604671500003</v>
      </c>
      <c r="M35" s="246">
        <v>4</v>
      </c>
      <c r="N35" s="247" t="s">
        <v>112</v>
      </c>
      <c r="O35" s="248">
        <f>'F1'!G13</f>
        <v>0</v>
      </c>
      <c r="P35" s="248">
        <f>'F1'!H13</f>
        <v>13.97</v>
      </c>
      <c r="Q35" s="248">
        <v>0</v>
      </c>
      <c r="R35" s="248"/>
      <c r="S35" s="248"/>
    </row>
    <row r="36" spans="2:19" ht="14.4" thickBot="1" x14ac:dyDescent="0.35">
      <c r="B36" s="19">
        <v>5</v>
      </c>
      <c r="C36" s="1" t="s">
        <v>113</v>
      </c>
      <c r="D36" s="10">
        <v>0</v>
      </c>
      <c r="E36" s="146">
        <f>-'[22]35. employee benefit exp'!$F$17/10^7</f>
        <v>13.363658649999998</v>
      </c>
      <c r="G36" s="203">
        <f>-'[23]35. employee benefit exp'!$F$17/10^7</f>
        <v>13.555266575999996</v>
      </c>
      <c r="I36" s="480">
        <f>'[24]35. employee benefit exp'!$F$17/10^7</f>
        <v>-9.8817301149999999</v>
      </c>
      <c r="K36" s="203">
        <f>'[25]35. employee benefit exp'!$F$17/10^2</f>
        <v>-10.995938000000001</v>
      </c>
      <c r="M36" s="249">
        <v>5</v>
      </c>
      <c r="N36" s="250" t="s">
        <v>114</v>
      </c>
      <c r="O36" s="251">
        <f>SUM(O32:O35)</f>
        <v>265.67584810700009</v>
      </c>
      <c r="P36" s="251">
        <f ca="1">SUM(P32:P35)</f>
        <v>265.84000000000003</v>
      </c>
      <c r="Q36" s="252">
        <f>SUM(Q32:Q35)</f>
        <v>208.73564977099997</v>
      </c>
      <c r="R36" s="251"/>
      <c r="S36" s="252"/>
    </row>
    <row r="37" spans="2:19" ht="14.4" thickBot="1" x14ac:dyDescent="0.35">
      <c r="B37" s="14">
        <v>6</v>
      </c>
      <c r="C37" s="18" t="s">
        <v>115</v>
      </c>
      <c r="D37" s="16">
        <f>D35-D36</f>
        <v>185.02</v>
      </c>
      <c r="E37" s="17">
        <f>E35-E36</f>
        <v>195.37199112099998</v>
      </c>
      <c r="F37" s="17">
        <f t="shared" ref="F37:H37" si="1">F35-F36</f>
        <v>0</v>
      </c>
      <c r="G37" s="17">
        <f t="shared" si="1"/>
        <v>181.68883857799997</v>
      </c>
      <c r="H37" s="17">
        <f t="shared" si="1"/>
        <v>186.72</v>
      </c>
      <c r="I37" s="17">
        <f>I35+I36</f>
        <v>179.54828788399993</v>
      </c>
      <c r="K37" s="17">
        <f>K35+K36</f>
        <v>177.32010871500003</v>
      </c>
      <c r="M37" s="253">
        <v>6</v>
      </c>
      <c r="N37" s="254" t="s">
        <v>116</v>
      </c>
      <c r="O37" s="595">
        <f>'F1'!G14</f>
        <v>15.299031257000001</v>
      </c>
      <c r="P37" s="255">
        <v>0</v>
      </c>
      <c r="Q37" s="255">
        <f>E36</f>
        <v>13.363658649999998</v>
      </c>
      <c r="R37" s="255"/>
      <c r="S37" s="255"/>
    </row>
    <row r="38" spans="2:19" x14ac:dyDescent="0.3">
      <c r="M38" s="253">
        <v>7</v>
      </c>
      <c r="N38" s="254" t="s">
        <v>117</v>
      </c>
      <c r="O38" s="596"/>
      <c r="P38" s="255">
        <v>0</v>
      </c>
      <c r="Q38" s="255">
        <f>E60</f>
        <v>3.1895614409999999</v>
      </c>
      <c r="R38" s="255"/>
      <c r="S38" s="255"/>
    </row>
    <row r="39" spans="2:19" x14ac:dyDescent="0.3">
      <c r="M39" s="249">
        <v>6</v>
      </c>
      <c r="N39" s="250" t="s">
        <v>118</v>
      </c>
      <c r="O39" s="251">
        <f t="shared" ref="O39:Q39" si="2">O36-O37-O38</f>
        <v>250.3768168500001</v>
      </c>
      <c r="P39" s="251">
        <f t="shared" ca="1" si="2"/>
        <v>265.84000000000003</v>
      </c>
      <c r="Q39" s="252">
        <f t="shared" si="2"/>
        <v>192.18242967999998</v>
      </c>
      <c r="R39" s="251"/>
      <c r="S39" s="252"/>
    </row>
    <row r="40" spans="2:19" x14ac:dyDescent="0.3">
      <c r="B40" s="19"/>
      <c r="E40" s="9" t="s">
        <v>101</v>
      </c>
    </row>
    <row r="41" spans="2:19" ht="15.6" x14ac:dyDescent="0.3">
      <c r="B41" s="583" t="s">
        <v>119</v>
      </c>
      <c r="C41" s="583"/>
      <c r="D41" s="583"/>
      <c r="E41" s="583"/>
      <c r="F41" s="583"/>
      <c r="G41" s="583"/>
      <c r="H41" s="583"/>
      <c r="I41" s="583"/>
      <c r="Q41" s="233"/>
    </row>
    <row r="42" spans="2:19" x14ac:dyDescent="0.3">
      <c r="B42" s="583" t="s">
        <v>1</v>
      </c>
      <c r="C42" s="583" t="s">
        <v>2</v>
      </c>
      <c r="D42" s="583"/>
      <c r="E42" s="583"/>
      <c r="F42" s="583"/>
      <c r="G42" s="583"/>
      <c r="H42" s="583"/>
      <c r="I42" s="583"/>
    </row>
    <row r="43" spans="2:19" x14ac:dyDescent="0.3">
      <c r="B43" s="583"/>
      <c r="C43" s="583"/>
      <c r="D43" s="583" t="s">
        <v>26</v>
      </c>
      <c r="E43" s="583"/>
      <c r="F43" s="583" t="s">
        <v>27</v>
      </c>
      <c r="G43" s="583"/>
      <c r="H43" s="583" t="s">
        <v>28</v>
      </c>
      <c r="I43" s="583"/>
    </row>
    <row r="44" spans="2:19" ht="42" thickBot="1" x14ac:dyDescent="0.35">
      <c r="B44" s="590"/>
      <c r="C44" s="590"/>
      <c r="D44" s="7" t="s">
        <v>34</v>
      </c>
      <c r="E44" s="7" t="s">
        <v>35</v>
      </c>
      <c r="F44" s="7" t="s">
        <v>34</v>
      </c>
      <c r="G44" s="7" t="s">
        <v>35</v>
      </c>
      <c r="H44" s="7" t="s">
        <v>34</v>
      </c>
      <c r="I44" s="7" t="s">
        <v>35</v>
      </c>
    </row>
    <row r="46" spans="2:19" x14ac:dyDescent="0.3">
      <c r="B46" s="19">
        <v>1</v>
      </c>
      <c r="C46" s="1" t="s">
        <v>120</v>
      </c>
      <c r="D46" s="10"/>
      <c r="E46" s="69">
        <v>0</v>
      </c>
    </row>
    <row r="47" spans="2:19" ht="14.4" thickBot="1" x14ac:dyDescent="0.35">
      <c r="B47" s="19">
        <v>2</v>
      </c>
      <c r="C47" s="1" t="s">
        <v>121</v>
      </c>
      <c r="D47" s="10"/>
      <c r="E47" s="69"/>
      <c r="F47" s="597"/>
      <c r="G47" s="597"/>
      <c r="H47" s="597"/>
      <c r="I47" s="8"/>
    </row>
    <row r="48" spans="2:19" ht="14.4" thickBot="1" x14ac:dyDescent="0.35">
      <c r="B48" s="14">
        <v>3</v>
      </c>
      <c r="C48" s="18" t="s">
        <v>122</v>
      </c>
      <c r="D48" s="16">
        <v>13.97</v>
      </c>
      <c r="E48" s="17">
        <f>E46-E47</f>
        <v>0</v>
      </c>
      <c r="F48" s="17">
        <v>15.24</v>
      </c>
      <c r="G48" s="17">
        <f t="shared" ref="G48" si="3">G46-G47</f>
        <v>0</v>
      </c>
      <c r="H48" s="17">
        <v>16.61</v>
      </c>
      <c r="I48" s="17"/>
    </row>
    <row r="51" spans="2:13" x14ac:dyDescent="0.3">
      <c r="B51" s="19"/>
      <c r="K51" s="9" t="s">
        <v>101</v>
      </c>
    </row>
    <row r="52" spans="2:13" x14ac:dyDescent="0.3">
      <c r="B52" s="583" t="s">
        <v>123</v>
      </c>
      <c r="C52" s="583"/>
      <c r="D52" s="583"/>
      <c r="E52" s="583"/>
      <c r="F52" s="583"/>
      <c r="G52" s="583"/>
      <c r="H52" s="186"/>
      <c r="I52" s="186"/>
      <c r="J52" s="186"/>
      <c r="K52" s="186"/>
    </row>
    <row r="53" spans="2:13" x14ac:dyDescent="0.3">
      <c r="B53" s="583" t="s">
        <v>1</v>
      </c>
      <c r="C53" s="583" t="s">
        <v>2</v>
      </c>
      <c r="D53" s="598"/>
      <c r="E53" s="598"/>
      <c r="F53" s="598"/>
      <c r="G53" s="598"/>
      <c r="H53" s="598"/>
      <c r="I53" s="598"/>
      <c r="J53" s="186"/>
      <c r="K53" s="186"/>
    </row>
    <row r="54" spans="2:13" x14ac:dyDescent="0.3">
      <c r="B54" s="583"/>
      <c r="C54" s="583"/>
      <c r="D54" s="598" t="s">
        <v>26</v>
      </c>
      <c r="E54" s="598"/>
      <c r="F54" s="598" t="s">
        <v>27</v>
      </c>
      <c r="G54" s="598"/>
      <c r="H54" s="598" t="s">
        <v>28</v>
      </c>
      <c r="I54" s="598"/>
      <c r="J54" s="598" t="s">
        <v>29</v>
      </c>
      <c r="K54" s="598"/>
      <c r="L54" s="599"/>
      <c r="M54" s="488"/>
    </row>
    <row r="55" spans="2:13" ht="42" thickBot="1" x14ac:dyDescent="0.35">
      <c r="B55" s="590"/>
      <c r="C55" s="590"/>
      <c r="D55" s="485" t="s">
        <v>34</v>
      </c>
      <c r="E55" s="485" t="s">
        <v>35</v>
      </c>
      <c r="F55" s="485" t="s">
        <v>124</v>
      </c>
      <c r="G55" s="485" t="s">
        <v>35</v>
      </c>
      <c r="H55" s="485" t="s">
        <v>125</v>
      </c>
      <c r="I55" s="485" t="s">
        <v>35</v>
      </c>
      <c r="J55" s="485" t="s">
        <v>126</v>
      </c>
      <c r="K55" s="485" t="s">
        <v>35</v>
      </c>
      <c r="L55" s="599"/>
      <c r="M55" s="489"/>
    </row>
    <row r="56" spans="2:13" x14ac:dyDescent="0.3">
      <c r="L56" s="490"/>
      <c r="M56" s="303"/>
    </row>
    <row r="57" spans="2:13" x14ac:dyDescent="0.3">
      <c r="B57" s="19">
        <v>1</v>
      </c>
      <c r="C57" s="1" t="s">
        <v>108</v>
      </c>
      <c r="D57" s="10">
        <f ca="1">'F1'!H10</f>
        <v>33.01</v>
      </c>
      <c r="E57" s="21">
        <f>F138</f>
        <v>48.177879780234015</v>
      </c>
      <c r="F57" s="1">
        <v>30.96</v>
      </c>
      <c r="G57" s="203">
        <f>I138</f>
        <v>54.90754443294734</v>
      </c>
      <c r="H57" s="1">
        <v>44.21</v>
      </c>
      <c r="I57" s="203">
        <f>'F13'!F18-K138</f>
        <v>57.667913359712607</v>
      </c>
      <c r="J57" s="1">
        <v>46.37</v>
      </c>
      <c r="K57" s="203">
        <f>'F13'!G18-'F3'!N138</f>
        <v>49.424701084686362</v>
      </c>
      <c r="L57" s="561"/>
      <c r="M57" s="303"/>
    </row>
    <row r="58" spans="2:13" ht="14.4" thickBot="1" x14ac:dyDescent="0.35">
      <c r="B58" s="19">
        <v>2</v>
      </c>
      <c r="C58" s="1" t="s">
        <v>110</v>
      </c>
      <c r="D58" s="10">
        <f ca="1">'F1'!H11</f>
        <v>33.840000000000003</v>
      </c>
      <c r="E58" s="21">
        <f>F139</f>
        <v>45.372900082000015</v>
      </c>
      <c r="F58" s="1">
        <v>31.73</v>
      </c>
      <c r="G58" s="203">
        <f>I139</f>
        <v>51.141576368999999</v>
      </c>
      <c r="H58" s="1">
        <v>45.31</v>
      </c>
      <c r="I58" s="203">
        <f>L139</f>
        <v>54.074477441999981</v>
      </c>
      <c r="J58" s="1">
        <v>47.52</v>
      </c>
      <c r="K58" s="203">
        <f>O139</f>
        <v>62.442761813999965</v>
      </c>
      <c r="L58" s="491"/>
      <c r="M58" s="492"/>
    </row>
    <row r="59" spans="2:13" ht="14.4" thickBot="1" x14ac:dyDescent="0.35">
      <c r="B59" s="14">
        <v>3</v>
      </c>
      <c r="C59" s="18" t="s">
        <v>127</v>
      </c>
      <c r="D59" s="18">
        <f ca="1">D58+D57</f>
        <v>66.849999999999994</v>
      </c>
      <c r="E59" s="17">
        <f>E58+E57</f>
        <v>93.550779862234037</v>
      </c>
      <c r="F59" s="17">
        <f t="shared" ref="F59:I59" si="4">F58+F57</f>
        <v>62.69</v>
      </c>
      <c r="G59" s="17">
        <f t="shared" si="4"/>
        <v>106.04912080194734</v>
      </c>
      <c r="H59" s="17">
        <f t="shared" si="4"/>
        <v>89.52000000000001</v>
      </c>
      <c r="I59" s="17">
        <f t="shared" si="4"/>
        <v>111.74239080171259</v>
      </c>
      <c r="J59" s="17">
        <f t="shared" ref="J59:K59" si="5">J58+J57</f>
        <v>93.89</v>
      </c>
      <c r="K59" s="17">
        <f t="shared" si="5"/>
        <v>111.86746289868633</v>
      </c>
      <c r="L59" s="490"/>
      <c r="M59" s="303"/>
    </row>
    <row r="60" spans="2:13" x14ac:dyDescent="0.3">
      <c r="B60" s="19">
        <v>4</v>
      </c>
      <c r="C60" s="1" t="s">
        <v>128</v>
      </c>
      <c r="D60" s="10">
        <v>0</v>
      </c>
      <c r="E60" s="146">
        <f>-'[22]37.  Other expense'!$F$46/10^7</f>
        <v>3.1895614409999999</v>
      </c>
      <c r="G60" s="460">
        <f>-'[23]37.  Other expense'!$F$46/10^7</f>
        <v>1.2899131500000001</v>
      </c>
      <c r="I60" s="461">
        <f>'[24]37.  Other expense'!$F$46/10^7</f>
        <v>-0.92789909999999998</v>
      </c>
      <c r="K60" s="461">
        <f>'[25]37.  Other expense'!$F$45/10^2</f>
        <v>-0.98240410099999986</v>
      </c>
      <c r="L60" s="490"/>
      <c r="M60" s="303"/>
    </row>
    <row r="61" spans="2:13" ht="14.4" thickBot="1" x14ac:dyDescent="0.35">
      <c r="B61" s="19"/>
      <c r="D61" s="10"/>
      <c r="E61" s="10"/>
      <c r="L61" s="491"/>
      <c r="M61" s="492"/>
    </row>
    <row r="62" spans="2:13" ht="14.4" thickBot="1" x14ac:dyDescent="0.35">
      <c r="B62" s="14">
        <v>5</v>
      </c>
      <c r="C62" s="18" t="s">
        <v>129</v>
      </c>
      <c r="D62" s="18">
        <f ca="1">D59-D60</f>
        <v>66.849999999999994</v>
      </c>
      <c r="E62" s="17">
        <f>E59-E60</f>
        <v>90.361218421234042</v>
      </c>
      <c r="F62" s="17">
        <f t="shared" ref="F62:H62" si="6">F59-F60</f>
        <v>62.69</v>
      </c>
      <c r="G62" s="17">
        <f t="shared" si="6"/>
        <v>104.75920765194734</v>
      </c>
      <c r="H62" s="17">
        <f t="shared" si="6"/>
        <v>89.52000000000001</v>
      </c>
      <c r="I62" s="17">
        <f>I59+I60</f>
        <v>110.81449170171258</v>
      </c>
      <c r="J62" s="17">
        <f t="shared" ref="J62" si="7">J59-J60</f>
        <v>93.89</v>
      </c>
      <c r="K62" s="17">
        <f>K59+K60</f>
        <v>110.88505879768633</v>
      </c>
    </row>
    <row r="65" spans="2:11" x14ac:dyDescent="0.3">
      <c r="B65" s="19"/>
      <c r="K65" s="9" t="s">
        <v>101</v>
      </c>
    </row>
    <row r="66" spans="2:11" x14ac:dyDescent="0.3">
      <c r="B66" s="583" t="s">
        <v>130</v>
      </c>
      <c r="C66" s="583"/>
      <c r="D66" s="583"/>
      <c r="E66" s="583"/>
      <c r="F66" s="583"/>
      <c r="G66" s="583"/>
      <c r="H66" s="516"/>
      <c r="I66" s="516"/>
      <c r="J66" s="516"/>
      <c r="K66" s="516"/>
    </row>
    <row r="67" spans="2:11" x14ac:dyDescent="0.3">
      <c r="B67" s="583" t="s">
        <v>1</v>
      </c>
      <c r="C67" s="583" t="s">
        <v>2</v>
      </c>
      <c r="D67" s="583"/>
      <c r="E67" s="583"/>
      <c r="F67" s="583"/>
      <c r="G67" s="583"/>
      <c r="H67" s="583"/>
      <c r="I67" s="583"/>
      <c r="J67" s="516"/>
      <c r="K67" s="516"/>
    </row>
    <row r="68" spans="2:11" x14ac:dyDescent="0.3">
      <c r="B68" s="583"/>
      <c r="C68" s="583"/>
      <c r="D68" s="583" t="s">
        <v>26</v>
      </c>
      <c r="E68" s="583"/>
      <c r="F68" s="583" t="s">
        <v>27</v>
      </c>
      <c r="G68" s="583"/>
      <c r="H68" s="583" t="s">
        <v>28</v>
      </c>
      <c r="I68" s="583"/>
      <c r="J68" s="583" t="s">
        <v>29</v>
      </c>
      <c r="K68" s="583"/>
    </row>
    <row r="69" spans="2:11" ht="42" thickBot="1" x14ac:dyDescent="0.35">
      <c r="B69" s="590"/>
      <c r="C69" s="590"/>
      <c r="D69" s="7" t="s">
        <v>34</v>
      </c>
      <c r="E69" s="7" t="s">
        <v>35</v>
      </c>
      <c r="F69" s="7" t="s">
        <v>124</v>
      </c>
      <c r="G69" s="7" t="s">
        <v>35</v>
      </c>
      <c r="H69" s="7" t="s">
        <v>131</v>
      </c>
      <c r="I69" s="7" t="s">
        <v>35</v>
      </c>
      <c r="J69" s="7" t="s">
        <v>126</v>
      </c>
      <c r="K69" s="7" t="s">
        <v>35</v>
      </c>
    </row>
    <row r="70" spans="2:11" ht="14.4" thickBot="1" x14ac:dyDescent="0.35">
      <c r="D70" s="10"/>
      <c r="E70" s="10"/>
    </row>
    <row r="71" spans="2:11" ht="14.4" thickBot="1" x14ac:dyDescent="0.35">
      <c r="B71" s="14">
        <v>1</v>
      </c>
      <c r="C71" s="18" t="s">
        <v>132</v>
      </c>
      <c r="D71" s="16">
        <v>58.47</v>
      </c>
      <c r="E71" s="16">
        <f>D71</f>
        <v>58.47</v>
      </c>
      <c r="F71" s="16">
        <v>45.26</v>
      </c>
      <c r="G71" s="16">
        <v>45.26</v>
      </c>
      <c r="H71" s="315">
        <v>69.52</v>
      </c>
      <c r="I71" s="315">
        <v>69.52</v>
      </c>
      <c r="J71" s="315">
        <v>87.65</v>
      </c>
      <c r="K71" s="315">
        <v>87.65</v>
      </c>
    </row>
    <row r="74" spans="2:11" x14ac:dyDescent="0.3">
      <c r="B74" s="19"/>
      <c r="K74" s="9" t="s">
        <v>101</v>
      </c>
    </row>
    <row r="75" spans="2:11" x14ac:dyDescent="0.3">
      <c r="B75" s="583" t="s">
        <v>133</v>
      </c>
      <c r="C75" s="583"/>
      <c r="D75" s="583"/>
      <c r="E75" s="583"/>
      <c r="F75" s="583"/>
      <c r="G75" s="583"/>
      <c r="H75" s="186"/>
      <c r="I75" s="186"/>
      <c r="J75" s="186"/>
      <c r="K75" s="186"/>
    </row>
    <row r="76" spans="2:11" x14ac:dyDescent="0.3">
      <c r="B76" s="583" t="s">
        <v>1</v>
      </c>
      <c r="C76" s="583" t="s">
        <v>2</v>
      </c>
      <c r="D76" s="583"/>
      <c r="E76" s="583"/>
      <c r="F76" s="583"/>
      <c r="G76" s="583"/>
      <c r="H76" s="583"/>
      <c r="I76" s="583"/>
      <c r="J76" s="186"/>
      <c r="K76" s="186"/>
    </row>
    <row r="77" spans="2:11" x14ac:dyDescent="0.3">
      <c r="B77" s="583"/>
      <c r="C77" s="583"/>
      <c r="D77" s="583" t="s">
        <v>26</v>
      </c>
      <c r="E77" s="583"/>
      <c r="F77" s="583" t="s">
        <v>27</v>
      </c>
      <c r="G77" s="583"/>
      <c r="H77" s="583" t="s">
        <v>28</v>
      </c>
      <c r="I77" s="583"/>
      <c r="J77" s="583" t="s">
        <v>29</v>
      </c>
      <c r="K77" s="583"/>
    </row>
    <row r="78" spans="2:11" ht="42" thickBot="1" x14ac:dyDescent="0.35">
      <c r="B78" s="590"/>
      <c r="C78" s="590"/>
      <c r="D78" s="7" t="s">
        <v>34</v>
      </c>
      <c r="E78" s="7" t="s">
        <v>35</v>
      </c>
      <c r="F78" s="7" t="s">
        <v>34</v>
      </c>
      <c r="G78" s="7" t="s">
        <v>35</v>
      </c>
      <c r="H78" s="7" t="s">
        <v>34</v>
      </c>
      <c r="I78" s="7" t="s">
        <v>35</v>
      </c>
      <c r="J78" s="7" t="s">
        <v>34</v>
      </c>
      <c r="K78" s="7" t="s">
        <v>35</v>
      </c>
    </row>
    <row r="80" spans="2:11" x14ac:dyDescent="0.3">
      <c r="B80" s="19">
        <v>1</v>
      </c>
      <c r="C80" s="1" t="s">
        <v>38</v>
      </c>
      <c r="D80" s="10">
        <f>D36</f>
        <v>0</v>
      </c>
      <c r="E80" s="10">
        <f>E36</f>
        <v>13.363658649999998</v>
      </c>
      <c r="G80" s="10">
        <f>G36</f>
        <v>13.555266575999996</v>
      </c>
      <c r="I80" s="203">
        <f>-I36</f>
        <v>9.8817301149999999</v>
      </c>
      <c r="K80" s="203">
        <f>'[25]35. employee benefit exp'!$F$17/10^2</f>
        <v>-10.995938000000001</v>
      </c>
    </row>
    <row r="81" spans="2:12" x14ac:dyDescent="0.3">
      <c r="B81" s="19">
        <v>2</v>
      </c>
      <c r="C81" s="1" t="s">
        <v>123</v>
      </c>
      <c r="D81" s="10">
        <f>D60</f>
        <v>0</v>
      </c>
      <c r="E81" s="10">
        <f>E60</f>
        <v>3.1895614409999999</v>
      </c>
      <c r="G81" s="51">
        <f>G60</f>
        <v>1.2899131500000001</v>
      </c>
      <c r="I81" s="544">
        <f>-I60</f>
        <v>0.92789909999999998</v>
      </c>
      <c r="K81" s="203">
        <f>'[25]37.  Other expense'!$F$45/10^2</f>
        <v>-0.98240410099999986</v>
      </c>
    </row>
    <row r="82" spans="2:12" ht="14.4" thickBot="1" x14ac:dyDescent="0.35">
      <c r="D82" s="10"/>
      <c r="E82" s="10"/>
    </row>
    <row r="83" spans="2:12" ht="14.4" thickBot="1" x14ac:dyDescent="0.35">
      <c r="B83" s="14">
        <v>3</v>
      </c>
      <c r="C83" s="18" t="s">
        <v>133</v>
      </c>
      <c r="D83" s="16">
        <f>D80+D81</f>
        <v>0</v>
      </c>
      <c r="E83" s="17">
        <f>E80+E81</f>
        <v>16.553220090999996</v>
      </c>
      <c r="F83" s="17">
        <f t="shared" ref="F83:I83" si="8">F80+F81</f>
        <v>0</v>
      </c>
      <c r="G83" s="17">
        <f t="shared" si="8"/>
        <v>14.845179725999996</v>
      </c>
      <c r="H83" s="17">
        <f t="shared" si="8"/>
        <v>0</v>
      </c>
      <c r="I83" s="462">
        <f t="shared" si="8"/>
        <v>10.809629214999999</v>
      </c>
      <c r="J83" s="17">
        <f t="shared" ref="J83:K83" si="9">J80+J81</f>
        <v>0</v>
      </c>
      <c r="K83" s="17">
        <f t="shared" si="9"/>
        <v>-11.978342101000001</v>
      </c>
    </row>
    <row r="84" spans="2:12" x14ac:dyDescent="0.3">
      <c r="H84" s="51"/>
    </row>
    <row r="86" spans="2:12" x14ac:dyDescent="0.3">
      <c r="B86" s="19"/>
      <c r="I86" s="172"/>
      <c r="K86" s="9" t="s">
        <v>101</v>
      </c>
    </row>
    <row r="87" spans="2:12" x14ac:dyDescent="0.3">
      <c r="B87" s="583" t="s">
        <v>134</v>
      </c>
      <c r="C87" s="583"/>
      <c r="D87" s="583"/>
      <c r="E87" s="583"/>
      <c r="F87" s="583"/>
      <c r="G87" s="583"/>
      <c r="H87" s="186"/>
      <c r="I87" s="186"/>
      <c r="J87" s="186"/>
      <c r="K87" s="186"/>
    </row>
    <row r="88" spans="2:12" x14ac:dyDescent="0.3">
      <c r="B88" s="583" t="s">
        <v>1</v>
      </c>
      <c r="C88" s="583" t="s">
        <v>2</v>
      </c>
      <c r="D88" s="583"/>
      <c r="E88" s="583"/>
      <c r="F88" s="583"/>
      <c r="G88" s="583"/>
      <c r="H88" s="186"/>
      <c r="I88" s="186"/>
      <c r="J88" s="186"/>
      <c r="K88" s="186"/>
    </row>
    <row r="89" spans="2:12" x14ac:dyDescent="0.3">
      <c r="B89" s="583"/>
      <c r="C89" s="583"/>
      <c r="D89" s="583" t="s">
        <v>26</v>
      </c>
      <c r="E89" s="583"/>
      <c r="F89" s="583" t="s">
        <v>27</v>
      </c>
      <c r="G89" s="583"/>
      <c r="H89" s="583" t="s">
        <v>28</v>
      </c>
      <c r="I89" s="583"/>
      <c r="J89" s="583" t="s">
        <v>29</v>
      </c>
      <c r="K89" s="583"/>
    </row>
    <row r="90" spans="2:12" ht="97.2" thickBot="1" x14ac:dyDescent="0.35">
      <c r="B90" s="590"/>
      <c r="C90" s="590"/>
      <c r="D90" s="7" t="s">
        <v>34</v>
      </c>
      <c r="E90" s="7" t="s">
        <v>35</v>
      </c>
      <c r="F90" s="7" t="s">
        <v>34</v>
      </c>
      <c r="G90" s="7" t="s">
        <v>35</v>
      </c>
      <c r="H90" s="7" t="s">
        <v>36</v>
      </c>
      <c r="I90" s="7" t="s">
        <v>35</v>
      </c>
      <c r="J90" s="7" t="s">
        <v>135</v>
      </c>
      <c r="K90" s="7" t="s">
        <v>35</v>
      </c>
    </row>
    <row r="92" spans="2:12" x14ac:dyDescent="0.3">
      <c r="B92" s="19">
        <v>1</v>
      </c>
      <c r="C92" s="1" t="s">
        <v>38</v>
      </c>
      <c r="D92" s="10">
        <f>D35</f>
        <v>185.02</v>
      </c>
      <c r="E92" s="10">
        <f>E35</f>
        <v>208.73564977099997</v>
      </c>
      <c r="F92" s="1">
        <v>201.76</v>
      </c>
      <c r="G92" s="303">
        <f>G35</f>
        <v>195.24410515399998</v>
      </c>
      <c r="H92" s="1">
        <v>186.72</v>
      </c>
      <c r="I92" s="303">
        <f>I35</f>
        <v>189.43001799899994</v>
      </c>
      <c r="J92" s="1">
        <v>196.37</v>
      </c>
      <c r="K92" s="51">
        <f>K35</f>
        <v>188.31604671500003</v>
      </c>
    </row>
    <row r="93" spans="2:12" x14ac:dyDescent="0.3">
      <c r="B93" s="19">
        <v>2</v>
      </c>
      <c r="C93" s="1" t="s">
        <v>39</v>
      </c>
      <c r="D93" s="146">
        <f ca="1">D57</f>
        <v>33.01</v>
      </c>
      <c r="E93" s="146">
        <f>E57</f>
        <v>48.177879780234015</v>
      </c>
      <c r="F93" s="1">
        <v>35.24</v>
      </c>
      <c r="G93" s="320">
        <f>G57</f>
        <v>54.90754443294734</v>
      </c>
      <c r="H93" s="1">
        <v>44.21</v>
      </c>
      <c r="I93" s="320">
        <f>'F13'!F18-'F3'!K138</f>
        <v>57.667913359712607</v>
      </c>
      <c r="J93" s="1">
        <v>46.37</v>
      </c>
      <c r="K93" s="203">
        <f>K57</f>
        <v>49.424701084686362</v>
      </c>
      <c r="L93" s="203">
        <f>K93+K81</f>
        <v>48.442296983686362</v>
      </c>
    </row>
    <row r="94" spans="2:12" x14ac:dyDescent="0.3">
      <c r="B94" s="19">
        <v>3</v>
      </c>
      <c r="C94" s="1" t="s">
        <v>40</v>
      </c>
      <c r="D94" s="146">
        <f ca="1">D58</f>
        <v>33.840000000000003</v>
      </c>
      <c r="E94" s="146">
        <f>E58</f>
        <v>45.372900082000015</v>
      </c>
      <c r="F94" s="1">
        <v>36.119999999999997</v>
      </c>
      <c r="G94" s="303">
        <f>G58</f>
        <v>51.141576368999999</v>
      </c>
      <c r="H94" s="1">
        <v>38.57</v>
      </c>
      <c r="I94" s="303">
        <f>I58</f>
        <v>54.074477441999981</v>
      </c>
      <c r="J94" s="1">
        <v>47.52</v>
      </c>
      <c r="K94" s="203">
        <f>K58</f>
        <v>62.442761813999965</v>
      </c>
    </row>
    <row r="95" spans="2:12" ht="14.4" thickBot="1" x14ac:dyDescent="0.35">
      <c r="B95" s="19"/>
      <c r="C95" s="219"/>
      <c r="D95" s="10"/>
      <c r="E95" s="146"/>
      <c r="G95" s="221"/>
      <c r="I95" s="221"/>
    </row>
    <row r="96" spans="2:12" ht="14.4" thickBot="1" x14ac:dyDescent="0.35">
      <c r="B96" s="14">
        <v>4</v>
      </c>
      <c r="C96" s="18" t="s">
        <v>134</v>
      </c>
      <c r="D96" s="18">
        <f ca="1">D92+D93+D94+D95</f>
        <v>251.87</v>
      </c>
      <c r="E96" s="17">
        <f>E92+E93+E94-E95</f>
        <v>302.28642963323398</v>
      </c>
      <c r="F96" s="17">
        <f t="shared" ref="F96:G96" si="10">F92+F93+F94-F95</f>
        <v>273.12</v>
      </c>
      <c r="G96" s="17">
        <f t="shared" si="10"/>
        <v>301.29322595594732</v>
      </c>
      <c r="H96" s="17">
        <f t="shared" ref="H96:K96" si="11">H92+H93+H94-H95</f>
        <v>269.5</v>
      </c>
      <c r="I96" s="17">
        <f t="shared" si="11"/>
        <v>301.1724088007125</v>
      </c>
      <c r="J96" s="17">
        <f t="shared" si="11"/>
        <v>290.26</v>
      </c>
      <c r="K96" s="17">
        <f t="shared" si="11"/>
        <v>300.1835096136864</v>
      </c>
    </row>
    <row r="99" spans="2:27" x14ac:dyDescent="0.3">
      <c r="B99" s="19"/>
      <c r="O99" s="9" t="s">
        <v>101</v>
      </c>
    </row>
    <row r="100" spans="2:27" x14ac:dyDescent="0.3">
      <c r="B100" s="583" t="s">
        <v>136</v>
      </c>
      <c r="C100" s="583"/>
      <c r="D100" s="583"/>
      <c r="E100" s="583"/>
      <c r="F100" s="583"/>
      <c r="G100" s="583"/>
      <c r="H100" s="583"/>
      <c r="I100" s="583"/>
      <c r="J100" s="186"/>
      <c r="K100" s="186"/>
      <c r="L100" s="186"/>
      <c r="M100" s="186"/>
      <c r="N100" s="186"/>
      <c r="O100" s="186"/>
    </row>
    <row r="101" spans="2:27" x14ac:dyDescent="0.3">
      <c r="B101" s="583" t="s">
        <v>1</v>
      </c>
      <c r="C101" s="583" t="s">
        <v>2</v>
      </c>
      <c r="D101" s="583"/>
      <c r="E101" s="583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</row>
    <row r="102" spans="2:27" x14ac:dyDescent="0.3">
      <c r="B102" s="583"/>
      <c r="C102" s="583"/>
      <c r="D102" s="583" t="s">
        <v>26</v>
      </c>
      <c r="E102" s="583"/>
      <c r="F102" s="583"/>
      <c r="G102" s="583" t="s">
        <v>27</v>
      </c>
      <c r="H102" s="583"/>
      <c r="I102" s="583"/>
      <c r="J102" s="583" t="s">
        <v>28</v>
      </c>
      <c r="K102" s="583"/>
      <c r="L102" s="583"/>
      <c r="M102" s="583" t="s">
        <v>29</v>
      </c>
      <c r="N102" s="583"/>
      <c r="O102" s="583"/>
    </row>
    <row r="103" spans="2:27" ht="42" thickBot="1" x14ac:dyDescent="0.35">
      <c r="B103" s="590"/>
      <c r="C103" s="590"/>
      <c r="D103" s="7" t="s">
        <v>137</v>
      </c>
      <c r="E103" s="7" t="s">
        <v>35</v>
      </c>
      <c r="F103" s="7" t="s">
        <v>138</v>
      </c>
      <c r="G103" s="7" t="s">
        <v>137</v>
      </c>
      <c r="H103" s="7" t="s">
        <v>35</v>
      </c>
      <c r="I103" s="7" t="s">
        <v>138</v>
      </c>
      <c r="J103" s="7" t="s">
        <v>137</v>
      </c>
      <c r="K103" s="7" t="s">
        <v>35</v>
      </c>
      <c r="L103" s="7" t="s">
        <v>138</v>
      </c>
      <c r="M103" s="7" t="s">
        <v>137</v>
      </c>
      <c r="N103" s="7" t="s">
        <v>35</v>
      </c>
      <c r="O103" s="7" t="s">
        <v>138</v>
      </c>
    </row>
    <row r="105" spans="2:27" x14ac:dyDescent="0.3">
      <c r="B105" s="19">
        <v>1</v>
      </c>
      <c r="C105" s="1" t="s">
        <v>38</v>
      </c>
      <c r="D105" s="35"/>
      <c r="E105" s="35"/>
      <c r="G105" s="139"/>
    </row>
    <row r="106" spans="2:27" x14ac:dyDescent="0.3">
      <c r="B106" s="19">
        <v>2</v>
      </c>
      <c r="C106" s="29" t="s">
        <v>139</v>
      </c>
      <c r="D106" s="146">
        <f>N150+E189</f>
        <v>42.557306561778823</v>
      </c>
      <c r="E106" s="146">
        <f>Q33-Q38</f>
        <v>-3.1895614409999999</v>
      </c>
      <c r="F106" s="172">
        <f>D106-E106</f>
        <v>45.746868002778825</v>
      </c>
      <c r="G106" s="51">
        <f>O150+F189</f>
        <v>42.122905512127929</v>
      </c>
      <c r="H106" s="172">
        <f>G93</f>
        <v>54.90754443294734</v>
      </c>
      <c r="I106" s="172">
        <f>G106-H106</f>
        <v>-12.784638920819411</v>
      </c>
      <c r="J106" s="463">
        <f>G187+G189</f>
        <v>45.904531948362539</v>
      </c>
      <c r="K106" s="203">
        <f>I93-I81</f>
        <v>56.740014259712609</v>
      </c>
      <c r="L106" s="172">
        <f>J106-K106</f>
        <v>-10.83548231135007</v>
      </c>
      <c r="M106" s="463">
        <f>H187+H189</f>
        <v>54.383071771897626</v>
      </c>
      <c r="N106" s="203">
        <f>K93+K81</f>
        <v>48.442296983686362</v>
      </c>
      <c r="O106" s="172">
        <f>M106-N106</f>
        <v>5.9407747882112645</v>
      </c>
      <c r="Q106" s="203"/>
    </row>
    <row r="107" spans="2:27" x14ac:dyDescent="0.3">
      <c r="B107" s="19">
        <v>3</v>
      </c>
      <c r="C107" s="29" t="s">
        <v>140</v>
      </c>
      <c r="D107" s="146">
        <f>N161+E190</f>
        <v>43.612718969407545</v>
      </c>
      <c r="E107" s="146">
        <f>F139</f>
        <v>45.372900082000015</v>
      </c>
      <c r="F107" s="172">
        <f>D107-E107</f>
        <v>-1.7601811125924698</v>
      </c>
      <c r="G107" s="51">
        <f>O161+F190</f>
        <v>43.16754486350078</v>
      </c>
      <c r="H107" s="203">
        <f>G94</f>
        <v>51.141576368999999</v>
      </c>
      <c r="I107" s="172">
        <f>G107-H107</f>
        <v>-7.9740315054992195</v>
      </c>
      <c r="J107" s="463">
        <f>G188+G190</f>
        <v>47.037977181655435</v>
      </c>
      <c r="K107" s="203">
        <f>I94</f>
        <v>54.074477441999981</v>
      </c>
      <c r="L107" s="172">
        <f>J107-K107</f>
        <v>-7.0365002603445461</v>
      </c>
      <c r="M107" s="463">
        <f>H188+H190</f>
        <v>55.733468239333114</v>
      </c>
      <c r="N107" s="203">
        <f>K94</f>
        <v>62.442761813999965</v>
      </c>
      <c r="O107" s="172">
        <f>M107-N107</f>
        <v>-6.7092935746668516</v>
      </c>
      <c r="Q107" s="172"/>
    </row>
    <row r="108" spans="2:27" x14ac:dyDescent="0.3">
      <c r="B108" s="19">
        <v>4</v>
      </c>
      <c r="C108" s="1" t="s">
        <v>141</v>
      </c>
      <c r="D108" s="10"/>
      <c r="E108" s="10"/>
      <c r="F108" s="172">
        <f>F107+F106+F105</f>
        <v>43.986686890186355</v>
      </c>
      <c r="G108" s="51"/>
      <c r="Q108" s="172"/>
    </row>
    <row r="109" spans="2:27" ht="14.4" thickBot="1" x14ac:dyDescent="0.35">
      <c r="B109" s="19"/>
      <c r="D109" s="10"/>
      <c r="E109" s="10"/>
    </row>
    <row r="110" spans="2:27" ht="14.4" thickBot="1" x14ac:dyDescent="0.35">
      <c r="B110" s="14">
        <v>5</v>
      </c>
      <c r="C110" s="18" t="s">
        <v>142</v>
      </c>
      <c r="D110" s="16">
        <v>0</v>
      </c>
      <c r="E110" s="17"/>
      <c r="F110" s="17">
        <f>50%*(F106+F105+F107)</f>
        <v>21.993343445093178</v>
      </c>
      <c r="G110" s="17">
        <f>G106+G107</f>
        <v>85.290450375628708</v>
      </c>
      <c r="H110" s="17">
        <f>H106+H107</f>
        <v>106.04912080194734</v>
      </c>
      <c r="I110" s="17">
        <f>50%*(I106+I105+I107)</f>
        <v>-10.379335213159315</v>
      </c>
      <c r="J110" s="17">
        <f>J106+J107</f>
        <v>92.942509130017982</v>
      </c>
      <c r="K110" s="17">
        <f>K106+K107</f>
        <v>110.8144917017126</v>
      </c>
      <c r="L110" s="17">
        <f>50%*(L106+L105+L107)</f>
        <v>-8.9359912858473081</v>
      </c>
      <c r="M110" s="17">
        <f>M106+M107</f>
        <v>110.11654001123074</v>
      </c>
      <c r="N110" s="17">
        <f>N106+N107</f>
        <v>110.88505879768633</v>
      </c>
      <c r="O110" s="17">
        <f>50%*(O106+O105+O107)</f>
        <v>-0.38425939322779357</v>
      </c>
    </row>
    <row r="111" spans="2:27" x14ac:dyDescent="0.3">
      <c r="N111" s="269" t="s">
        <v>143</v>
      </c>
    </row>
    <row r="112" spans="2:27" x14ac:dyDescent="0.3">
      <c r="B112" s="583" t="s">
        <v>144</v>
      </c>
      <c r="C112" s="583"/>
      <c r="D112" s="583"/>
      <c r="E112" s="583"/>
      <c r="F112" s="583"/>
      <c r="G112" s="583"/>
      <c r="H112" s="583"/>
      <c r="I112" s="583"/>
      <c r="J112" s="583"/>
      <c r="K112" s="583"/>
      <c r="L112" s="583"/>
      <c r="M112" s="583"/>
      <c r="N112" s="583"/>
      <c r="O112" s="583"/>
      <c r="P112" s="583"/>
      <c r="Q112" s="583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</row>
    <row r="113" spans="2:29" x14ac:dyDescent="0.3">
      <c r="B113" s="593" t="s">
        <v>1</v>
      </c>
      <c r="C113" s="593" t="s">
        <v>145</v>
      </c>
      <c r="D113" s="593" t="s">
        <v>146</v>
      </c>
      <c r="E113" s="593"/>
      <c r="F113" s="593" t="s">
        <v>147</v>
      </c>
      <c r="G113" s="593"/>
      <c r="H113" s="593" t="s">
        <v>148</v>
      </c>
      <c r="I113" s="593"/>
      <c r="J113" s="593" t="s">
        <v>149</v>
      </c>
      <c r="K113" s="593"/>
      <c r="L113" s="593" t="s">
        <v>150</v>
      </c>
      <c r="M113" s="593"/>
      <c r="N113" s="593" t="s">
        <v>22</v>
      </c>
      <c r="O113" s="593"/>
      <c r="P113" s="593" t="s">
        <v>23</v>
      </c>
      <c r="Q113" s="593"/>
      <c r="R113" s="593" t="s">
        <v>24</v>
      </c>
      <c r="S113" s="593"/>
      <c r="T113" s="593" t="s">
        <v>25</v>
      </c>
      <c r="U113" s="593"/>
      <c r="V113" s="593" t="s">
        <v>26</v>
      </c>
      <c r="W113" s="593"/>
      <c r="X113" s="593" t="s">
        <v>27</v>
      </c>
      <c r="Y113" s="593"/>
      <c r="Z113" s="593" t="s">
        <v>28</v>
      </c>
      <c r="AA113" s="593"/>
      <c r="AB113" s="593" t="s">
        <v>29</v>
      </c>
      <c r="AC113" s="593"/>
    </row>
    <row r="114" spans="2:29" ht="14.4" thickBot="1" x14ac:dyDescent="0.35">
      <c r="B114" s="604"/>
      <c r="C114" s="604"/>
      <c r="D114" s="7" t="s">
        <v>151</v>
      </c>
      <c r="E114" s="7" t="s">
        <v>152</v>
      </c>
      <c r="F114" s="7" t="s">
        <v>151</v>
      </c>
      <c r="G114" s="7" t="s">
        <v>152</v>
      </c>
      <c r="H114" s="7" t="s">
        <v>151</v>
      </c>
      <c r="I114" s="7" t="s">
        <v>152</v>
      </c>
      <c r="J114" s="7" t="s">
        <v>151</v>
      </c>
      <c r="K114" s="7" t="s">
        <v>152</v>
      </c>
      <c r="L114" s="7" t="s">
        <v>151</v>
      </c>
      <c r="M114" s="7" t="s">
        <v>152</v>
      </c>
      <c r="N114" s="7" t="s">
        <v>151</v>
      </c>
      <c r="O114" s="7" t="s">
        <v>152</v>
      </c>
      <c r="P114" s="7" t="s">
        <v>151</v>
      </c>
      <c r="Q114" s="7" t="s">
        <v>152</v>
      </c>
      <c r="R114" s="7" t="s">
        <v>151</v>
      </c>
      <c r="S114" s="7" t="s">
        <v>152</v>
      </c>
      <c r="T114" s="7" t="s">
        <v>151</v>
      </c>
      <c r="U114" s="7" t="s">
        <v>152</v>
      </c>
      <c r="V114" s="7" t="s">
        <v>151</v>
      </c>
      <c r="W114" s="7" t="s">
        <v>152</v>
      </c>
      <c r="X114" s="7" t="s">
        <v>151</v>
      </c>
      <c r="Y114" s="7" t="s">
        <v>152</v>
      </c>
      <c r="Z114" s="7" t="s">
        <v>151</v>
      </c>
      <c r="AA114" s="7" t="s">
        <v>152</v>
      </c>
      <c r="AB114" s="7" t="s">
        <v>151</v>
      </c>
      <c r="AC114" s="7" t="s">
        <v>152</v>
      </c>
    </row>
    <row r="116" spans="2:29" ht="14.4" x14ac:dyDescent="0.3">
      <c r="B116" s="19">
        <v>1</v>
      </c>
      <c r="C116" s="1" t="s">
        <v>153</v>
      </c>
      <c r="D116" s="1">
        <v>150</v>
      </c>
      <c r="E116" s="203">
        <v>125</v>
      </c>
      <c r="F116" s="10">
        <v>170</v>
      </c>
      <c r="G116" s="10">
        <v>138.6</v>
      </c>
      <c r="H116" s="10">
        <v>186</v>
      </c>
      <c r="I116" s="10">
        <v>152.1</v>
      </c>
      <c r="J116" s="10">
        <v>205</v>
      </c>
      <c r="K116" s="10">
        <v>163.5</v>
      </c>
      <c r="L116" s="10">
        <v>226</v>
      </c>
      <c r="M116" s="10">
        <v>171.3</v>
      </c>
      <c r="N116" s="10">
        <v>242</v>
      </c>
      <c r="O116" s="10">
        <v>114.1</v>
      </c>
      <c r="P116" s="10">
        <v>256</v>
      </c>
      <c r="Q116" s="10">
        <v>110.2</v>
      </c>
      <c r="R116" s="10">
        <v>271</v>
      </c>
      <c r="S116" s="10">
        <v>109</v>
      </c>
      <c r="T116" s="188"/>
      <c r="U116" s="10">
        <v>113.2</v>
      </c>
      <c r="V116" s="188"/>
      <c r="W116" s="282">
        <v>117.3</v>
      </c>
      <c r="X116" s="188"/>
      <c r="Y116" s="1">
        <v>121.1</v>
      </c>
      <c r="Z116" s="188"/>
      <c r="AA116">
        <v>119.2</v>
      </c>
      <c r="AB116" s="188"/>
      <c r="AC116" s="558">
        <v>132</v>
      </c>
    </row>
    <row r="117" spans="2:29" ht="14.4" x14ac:dyDescent="0.3">
      <c r="B117" s="19">
        <v>2</v>
      </c>
      <c r="C117" s="1" t="s">
        <v>154</v>
      </c>
      <c r="D117" s="1">
        <v>151</v>
      </c>
      <c r="E117" s="203">
        <v>125.9</v>
      </c>
      <c r="F117" s="10">
        <v>172</v>
      </c>
      <c r="G117" s="10">
        <v>139.1</v>
      </c>
      <c r="H117" s="10">
        <v>187</v>
      </c>
      <c r="I117" s="10">
        <v>152.4</v>
      </c>
      <c r="J117" s="10">
        <v>206</v>
      </c>
      <c r="K117" s="10">
        <v>163.9</v>
      </c>
      <c r="L117" s="10">
        <v>228</v>
      </c>
      <c r="M117" s="10">
        <v>171.4</v>
      </c>
      <c r="N117" s="10">
        <v>244</v>
      </c>
      <c r="O117" s="10">
        <v>114.8</v>
      </c>
      <c r="P117" s="10">
        <v>258</v>
      </c>
      <c r="Q117" s="10">
        <v>111.4</v>
      </c>
      <c r="R117" s="10">
        <v>275</v>
      </c>
      <c r="S117" s="10">
        <v>110.4</v>
      </c>
      <c r="U117" s="10">
        <v>112.9</v>
      </c>
      <c r="W117" s="282">
        <v>118.3</v>
      </c>
      <c r="Y117" s="1">
        <v>121.6</v>
      </c>
      <c r="AA117">
        <v>117.5</v>
      </c>
      <c r="AC117" s="558">
        <v>132.9</v>
      </c>
    </row>
    <row r="118" spans="2:29" ht="14.4" x14ac:dyDescent="0.3">
      <c r="B118" s="19">
        <v>3</v>
      </c>
      <c r="C118" s="1" t="s">
        <v>155</v>
      </c>
      <c r="D118" s="1">
        <v>153</v>
      </c>
      <c r="E118" s="203">
        <v>126.8</v>
      </c>
      <c r="F118" s="10">
        <v>174</v>
      </c>
      <c r="G118" s="10">
        <v>139.80000000000001</v>
      </c>
      <c r="H118" s="10">
        <v>189</v>
      </c>
      <c r="I118" s="10">
        <v>153.1</v>
      </c>
      <c r="J118" s="10">
        <v>208</v>
      </c>
      <c r="K118" s="10">
        <v>164.7</v>
      </c>
      <c r="L118" s="10">
        <v>231</v>
      </c>
      <c r="M118" s="10">
        <v>173.2</v>
      </c>
      <c r="N118" s="10">
        <v>246</v>
      </c>
      <c r="O118" s="10">
        <v>115.2</v>
      </c>
      <c r="P118" s="10">
        <v>261</v>
      </c>
      <c r="Q118" s="10">
        <v>111.8</v>
      </c>
      <c r="R118" s="10">
        <v>277</v>
      </c>
      <c r="S118" s="10">
        <v>111.7</v>
      </c>
      <c r="U118" s="51">
        <v>112.7</v>
      </c>
      <c r="W118" s="282">
        <v>119.1</v>
      </c>
      <c r="Y118" s="1">
        <v>121.5</v>
      </c>
      <c r="AA118">
        <v>119.3</v>
      </c>
      <c r="AC118" s="558">
        <v>133.69999999999999</v>
      </c>
    </row>
    <row r="119" spans="2:29" ht="14.4" x14ac:dyDescent="0.3">
      <c r="B119" s="19">
        <v>4</v>
      </c>
      <c r="C119" s="1" t="s">
        <v>156</v>
      </c>
      <c r="D119" s="1">
        <v>160</v>
      </c>
      <c r="E119" s="203">
        <v>128.19999999999999</v>
      </c>
      <c r="F119" s="10">
        <v>178</v>
      </c>
      <c r="G119" s="10">
        <v>141</v>
      </c>
      <c r="H119" s="10">
        <v>193</v>
      </c>
      <c r="I119" s="10">
        <v>154.19999999999999</v>
      </c>
      <c r="J119" s="10">
        <v>212</v>
      </c>
      <c r="K119" s="10">
        <v>165.8</v>
      </c>
      <c r="L119" s="10">
        <v>235</v>
      </c>
      <c r="M119" s="10">
        <v>175.5</v>
      </c>
      <c r="N119" s="10">
        <v>252</v>
      </c>
      <c r="O119" s="10">
        <v>116.7</v>
      </c>
      <c r="P119" s="10">
        <v>263</v>
      </c>
      <c r="Q119" s="10">
        <v>111.1</v>
      </c>
      <c r="R119" s="10">
        <v>280</v>
      </c>
      <c r="S119" s="10">
        <v>111.8</v>
      </c>
      <c r="U119" s="51">
        <v>113.9</v>
      </c>
      <c r="W119" s="282">
        <v>119.9</v>
      </c>
      <c r="Y119" s="1">
        <v>121.3</v>
      </c>
      <c r="AA119">
        <v>121</v>
      </c>
      <c r="AC119" s="558">
        <v>135</v>
      </c>
    </row>
    <row r="120" spans="2:29" ht="14.4" x14ac:dyDescent="0.3">
      <c r="B120" s="19">
        <v>5</v>
      </c>
      <c r="C120" s="1" t="s">
        <v>157</v>
      </c>
      <c r="D120" s="1">
        <v>162</v>
      </c>
      <c r="E120" s="203">
        <v>129.6</v>
      </c>
      <c r="F120" s="10">
        <v>178</v>
      </c>
      <c r="G120" s="10">
        <v>141.1</v>
      </c>
      <c r="H120" s="10">
        <v>194</v>
      </c>
      <c r="I120" s="10">
        <v>154.9</v>
      </c>
      <c r="J120" s="10">
        <v>214</v>
      </c>
      <c r="K120" s="10">
        <v>167.3</v>
      </c>
      <c r="L120" s="10">
        <v>237</v>
      </c>
      <c r="M120" s="10">
        <v>179</v>
      </c>
      <c r="N120" s="10">
        <v>253</v>
      </c>
      <c r="O120" s="10">
        <v>117.2</v>
      </c>
      <c r="P120" s="10">
        <v>264</v>
      </c>
      <c r="Q120" s="10">
        <v>110</v>
      </c>
      <c r="R120" s="10">
        <v>278</v>
      </c>
      <c r="S120" s="10">
        <v>111.2</v>
      </c>
      <c r="U120" s="51">
        <v>114.8</v>
      </c>
      <c r="W120" s="282">
        <v>120.1</v>
      </c>
      <c r="Y120" s="1">
        <v>121.5</v>
      </c>
      <c r="AA120" s="557">
        <v>122</v>
      </c>
      <c r="AC120" s="558">
        <v>136.19999999999999</v>
      </c>
    </row>
    <row r="121" spans="2:29" ht="14.4" x14ac:dyDescent="0.3">
      <c r="B121" s="19">
        <v>6</v>
      </c>
      <c r="C121" s="1" t="s">
        <v>158</v>
      </c>
      <c r="D121" s="1">
        <v>163</v>
      </c>
      <c r="E121" s="203">
        <v>130.30000000000001</v>
      </c>
      <c r="F121" s="10">
        <v>179</v>
      </c>
      <c r="G121" s="10">
        <v>142</v>
      </c>
      <c r="H121" s="10">
        <v>197</v>
      </c>
      <c r="I121" s="10">
        <v>156.19999999999999</v>
      </c>
      <c r="J121" s="10">
        <v>215</v>
      </c>
      <c r="K121" s="10">
        <v>168.8</v>
      </c>
      <c r="L121" s="10">
        <v>238</v>
      </c>
      <c r="M121" s="10">
        <v>180.7</v>
      </c>
      <c r="N121" s="10">
        <v>253</v>
      </c>
      <c r="O121" s="10">
        <v>116.4</v>
      </c>
      <c r="P121" s="10">
        <v>266</v>
      </c>
      <c r="Q121" s="10">
        <v>109.9</v>
      </c>
      <c r="R121" s="10">
        <v>277</v>
      </c>
      <c r="S121" s="10">
        <v>111.4</v>
      </c>
      <c r="U121" s="51">
        <v>114.9</v>
      </c>
      <c r="W121" s="1">
        <v>120.9</v>
      </c>
      <c r="Y121" s="1">
        <v>121.3</v>
      </c>
      <c r="AA121">
        <v>122.9</v>
      </c>
      <c r="AC121" s="558">
        <v>137.4</v>
      </c>
    </row>
    <row r="122" spans="2:29" ht="14.4" x14ac:dyDescent="0.3">
      <c r="B122" s="19">
        <v>7</v>
      </c>
      <c r="C122" s="1" t="s">
        <v>159</v>
      </c>
      <c r="D122" s="1">
        <v>165</v>
      </c>
      <c r="E122" s="203">
        <v>131</v>
      </c>
      <c r="F122" s="10">
        <v>181</v>
      </c>
      <c r="G122" s="10">
        <v>142.9</v>
      </c>
      <c r="H122" s="10">
        <v>198</v>
      </c>
      <c r="I122" s="10">
        <v>157</v>
      </c>
      <c r="J122" s="10">
        <v>217</v>
      </c>
      <c r="K122" s="10">
        <v>168.5</v>
      </c>
      <c r="L122" s="10">
        <v>241</v>
      </c>
      <c r="M122" s="10">
        <v>180.7</v>
      </c>
      <c r="N122" s="10">
        <v>253</v>
      </c>
      <c r="O122" s="10">
        <v>115.6</v>
      </c>
      <c r="P122" s="10">
        <v>269</v>
      </c>
      <c r="Q122" s="10">
        <v>110.1</v>
      </c>
      <c r="R122" s="10">
        <v>278</v>
      </c>
      <c r="S122" s="10">
        <v>111.5</v>
      </c>
      <c r="U122" s="51">
        <v>115.6</v>
      </c>
      <c r="W122" s="282">
        <v>122</v>
      </c>
      <c r="Y122" s="1">
        <v>122</v>
      </c>
      <c r="AA122">
        <v>123.6</v>
      </c>
      <c r="AC122" s="558">
        <v>140.69999999999999</v>
      </c>
    </row>
    <row r="123" spans="2:29" ht="14.4" x14ac:dyDescent="0.3">
      <c r="B123" s="19">
        <v>8</v>
      </c>
      <c r="C123" s="1" t="s">
        <v>160</v>
      </c>
      <c r="D123" s="1">
        <v>168</v>
      </c>
      <c r="E123" s="203">
        <v>132.9</v>
      </c>
      <c r="F123" s="10">
        <v>182</v>
      </c>
      <c r="G123" s="10">
        <v>143.80000000000001</v>
      </c>
      <c r="H123" s="10">
        <v>199</v>
      </c>
      <c r="I123" s="10">
        <v>157.4</v>
      </c>
      <c r="J123" s="10">
        <v>218</v>
      </c>
      <c r="K123" s="10">
        <v>168.8</v>
      </c>
      <c r="L123" s="10">
        <v>243</v>
      </c>
      <c r="M123" s="10">
        <v>181.5</v>
      </c>
      <c r="N123" s="10">
        <v>253</v>
      </c>
      <c r="O123" s="10">
        <v>114.1</v>
      </c>
      <c r="P123" s="10">
        <v>270</v>
      </c>
      <c r="Q123" s="10">
        <v>109.9</v>
      </c>
      <c r="R123" s="10">
        <v>277</v>
      </c>
      <c r="S123" s="10">
        <v>111.9</v>
      </c>
      <c r="U123" s="51">
        <v>116.4</v>
      </c>
      <c r="W123" s="1">
        <v>121.6</v>
      </c>
      <c r="Y123" s="1">
        <v>122.3</v>
      </c>
      <c r="AA123">
        <v>125.1</v>
      </c>
      <c r="AC123" s="558">
        <v>143.69999999999999</v>
      </c>
    </row>
    <row r="124" spans="2:29" ht="14.4" x14ac:dyDescent="0.3">
      <c r="B124" s="19">
        <v>9</v>
      </c>
      <c r="C124" s="1" t="s">
        <v>161</v>
      </c>
      <c r="D124" s="1">
        <v>169</v>
      </c>
      <c r="E124" s="203">
        <v>133.4</v>
      </c>
      <c r="F124" s="10">
        <v>185</v>
      </c>
      <c r="G124" s="10">
        <v>146</v>
      </c>
      <c r="H124" s="10">
        <v>197</v>
      </c>
      <c r="I124" s="10">
        <v>157.30000000000001</v>
      </c>
      <c r="J124" s="10">
        <v>219</v>
      </c>
      <c r="K124" s="10">
        <v>168.8</v>
      </c>
      <c r="L124" s="10">
        <v>239</v>
      </c>
      <c r="M124" s="10">
        <v>179.6</v>
      </c>
      <c r="N124" s="10">
        <v>253</v>
      </c>
      <c r="O124" s="10">
        <v>112</v>
      </c>
      <c r="P124" s="10">
        <v>269</v>
      </c>
      <c r="Q124" s="10">
        <v>109.4</v>
      </c>
      <c r="R124" s="10">
        <v>275</v>
      </c>
      <c r="S124" s="10">
        <v>111.7</v>
      </c>
      <c r="U124" s="51">
        <v>115.7</v>
      </c>
      <c r="W124" s="1">
        <v>119.7</v>
      </c>
      <c r="Y124" s="1">
        <v>123</v>
      </c>
      <c r="AA124">
        <v>125.4</v>
      </c>
      <c r="AC124" s="558">
        <v>143.30000000000001</v>
      </c>
    </row>
    <row r="125" spans="2:29" ht="14.4" x14ac:dyDescent="0.3">
      <c r="B125" s="19">
        <v>10</v>
      </c>
      <c r="C125" s="1" t="s">
        <v>162</v>
      </c>
      <c r="D125" s="1">
        <v>172</v>
      </c>
      <c r="E125" s="203">
        <v>135.19999999999999</v>
      </c>
      <c r="F125" s="10">
        <v>188</v>
      </c>
      <c r="G125" s="10">
        <v>148</v>
      </c>
      <c r="H125" s="10">
        <v>198</v>
      </c>
      <c r="I125" s="10">
        <v>158.69999999999999</v>
      </c>
      <c r="J125" s="10">
        <v>221</v>
      </c>
      <c r="K125" s="10">
        <v>170.3</v>
      </c>
      <c r="L125" s="10">
        <v>237</v>
      </c>
      <c r="M125" s="10">
        <v>179</v>
      </c>
      <c r="N125" s="10">
        <v>254</v>
      </c>
      <c r="O125" s="10">
        <v>110.8</v>
      </c>
      <c r="P125" s="10">
        <v>269</v>
      </c>
      <c r="Q125" s="10">
        <v>108</v>
      </c>
      <c r="R125" s="10">
        <v>274</v>
      </c>
      <c r="S125" s="10">
        <v>112.6</v>
      </c>
      <c r="U125" s="51">
        <v>116</v>
      </c>
      <c r="W125" s="1">
        <v>119.2</v>
      </c>
      <c r="Y125" s="1">
        <v>123.4</v>
      </c>
      <c r="AA125">
        <v>126.5</v>
      </c>
      <c r="AC125" s="558">
        <v>143.80000000000001</v>
      </c>
    </row>
    <row r="126" spans="2:29" ht="14.4" x14ac:dyDescent="0.3">
      <c r="B126" s="19">
        <v>11</v>
      </c>
      <c r="C126" s="1" t="s">
        <v>163</v>
      </c>
      <c r="D126" s="1">
        <v>170</v>
      </c>
      <c r="E126" s="203">
        <v>135.19999999999999</v>
      </c>
      <c r="F126" s="10">
        <v>185</v>
      </c>
      <c r="G126" s="10">
        <v>148.1</v>
      </c>
      <c r="H126" s="10">
        <v>199</v>
      </c>
      <c r="I126" s="10">
        <v>159.30000000000001</v>
      </c>
      <c r="J126" s="10">
        <v>223</v>
      </c>
      <c r="K126" s="10">
        <v>170.9</v>
      </c>
      <c r="L126" s="10">
        <v>238</v>
      </c>
      <c r="M126" s="10">
        <v>179.5</v>
      </c>
      <c r="N126" s="10">
        <v>253</v>
      </c>
      <c r="O126" s="10">
        <v>109.6</v>
      </c>
      <c r="P126" s="10">
        <v>267</v>
      </c>
      <c r="Q126" s="10">
        <v>107.1</v>
      </c>
      <c r="R126" s="10">
        <v>274</v>
      </c>
      <c r="S126" s="10">
        <v>113</v>
      </c>
      <c r="U126" s="51">
        <v>116.1</v>
      </c>
      <c r="W126" s="1">
        <v>119.5</v>
      </c>
      <c r="Y126" s="1">
        <v>122.2</v>
      </c>
      <c r="AA126">
        <v>128.1</v>
      </c>
      <c r="AC126" s="558">
        <v>145.30000000000001</v>
      </c>
    </row>
    <row r="127" spans="2:29" ht="14.4" x14ac:dyDescent="0.3">
      <c r="B127" s="19">
        <v>12</v>
      </c>
      <c r="C127" s="1" t="s">
        <v>164</v>
      </c>
      <c r="D127" s="1">
        <v>170</v>
      </c>
      <c r="E127" s="203">
        <v>136.30000000000001</v>
      </c>
      <c r="F127" s="10">
        <v>185</v>
      </c>
      <c r="G127" s="10">
        <v>149.5</v>
      </c>
      <c r="H127" s="10">
        <v>201</v>
      </c>
      <c r="I127" s="10">
        <v>161</v>
      </c>
      <c r="J127" s="10">
        <v>224</v>
      </c>
      <c r="K127" s="10">
        <v>170.1</v>
      </c>
      <c r="L127" s="10">
        <v>239</v>
      </c>
      <c r="M127" s="10">
        <v>180.3</v>
      </c>
      <c r="N127" s="10">
        <v>254</v>
      </c>
      <c r="O127" s="10">
        <v>109.9</v>
      </c>
      <c r="P127" s="10">
        <v>268</v>
      </c>
      <c r="Q127" s="10">
        <v>107.7</v>
      </c>
      <c r="R127" s="10">
        <v>275</v>
      </c>
      <c r="S127" s="10">
        <v>113.2</v>
      </c>
      <c r="U127" s="51">
        <v>116.3</v>
      </c>
      <c r="W127" s="1">
        <v>119.9</v>
      </c>
      <c r="Y127" s="1">
        <v>120.4</v>
      </c>
      <c r="AA127">
        <v>129.9</v>
      </c>
      <c r="AC127" s="558">
        <v>148.9</v>
      </c>
    </row>
    <row r="128" spans="2:29" x14ac:dyDescent="0.3">
      <c r="B128" s="182">
        <v>13</v>
      </c>
      <c r="C128" s="183" t="s">
        <v>165</v>
      </c>
      <c r="D128" s="179">
        <f t="shared" ref="D128:AC128" si="12">AVERAGE(D116:D127)</f>
        <v>162.75</v>
      </c>
      <c r="E128" s="179">
        <f t="shared" si="12"/>
        <v>130.81666666666669</v>
      </c>
      <c r="F128" s="179">
        <f t="shared" si="12"/>
        <v>179.75</v>
      </c>
      <c r="G128" s="179">
        <f t="shared" si="12"/>
        <v>143.32499999999999</v>
      </c>
      <c r="H128" s="179">
        <f t="shared" si="12"/>
        <v>194.83333333333334</v>
      </c>
      <c r="I128" s="179">
        <f t="shared" si="12"/>
        <v>156.13333333333333</v>
      </c>
      <c r="J128" s="179">
        <f t="shared" si="12"/>
        <v>215.16666666666666</v>
      </c>
      <c r="K128" s="179">
        <f t="shared" si="12"/>
        <v>167.61666666666665</v>
      </c>
      <c r="L128" s="179">
        <f t="shared" si="12"/>
        <v>236</v>
      </c>
      <c r="M128" s="179">
        <f t="shared" si="12"/>
        <v>177.64166666666668</v>
      </c>
      <c r="N128" s="179">
        <f t="shared" si="12"/>
        <v>250.83333333333334</v>
      </c>
      <c r="O128" s="179">
        <f t="shared" si="12"/>
        <v>113.86666666666666</v>
      </c>
      <c r="P128" s="179">
        <f t="shared" si="12"/>
        <v>265</v>
      </c>
      <c r="Q128" s="179">
        <f t="shared" si="12"/>
        <v>109.71666666666665</v>
      </c>
      <c r="R128" s="179">
        <f t="shared" si="12"/>
        <v>275.91666666666669</v>
      </c>
      <c r="S128" s="179">
        <f t="shared" si="12"/>
        <v>111.61666666666667</v>
      </c>
      <c r="T128" s="179"/>
      <c r="U128" s="179">
        <f t="shared" si="12"/>
        <v>114.87499999999999</v>
      </c>
      <c r="V128" s="179"/>
      <c r="W128" s="179">
        <f t="shared" si="12"/>
        <v>119.79166666666669</v>
      </c>
      <c r="X128" s="179"/>
      <c r="Y128" s="179">
        <f t="shared" si="12"/>
        <v>121.80000000000001</v>
      </c>
      <c r="AA128" s="179">
        <f t="shared" si="12"/>
        <v>123.375</v>
      </c>
      <c r="AC128" s="179">
        <f t="shared" si="12"/>
        <v>139.40833333333333</v>
      </c>
    </row>
    <row r="129" spans="2:29" x14ac:dyDescent="0.3">
      <c r="B129" s="49"/>
      <c r="C129" s="3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26"/>
    </row>
    <row r="130" spans="2:29" ht="27.6" hidden="1" x14ac:dyDescent="0.3">
      <c r="B130" s="182">
        <v>14</v>
      </c>
      <c r="C130" s="184" t="s">
        <v>166</v>
      </c>
      <c r="D130" s="179"/>
      <c r="E130" s="179"/>
      <c r="F130" s="592">
        <f>F128/D128-1</f>
        <v>0.10445468509984646</v>
      </c>
      <c r="G130" s="592"/>
      <c r="H130" s="592">
        <f>H128/F128-1</f>
        <v>8.3912841910060321E-2</v>
      </c>
      <c r="I130" s="592"/>
      <c r="J130" s="592">
        <f>J128/H128-1</f>
        <v>0.10436270316509821</v>
      </c>
      <c r="K130" s="592"/>
      <c r="L130" s="592">
        <f>L128/J128-1</f>
        <v>9.6824167312161258E-2</v>
      </c>
      <c r="M130" s="592"/>
      <c r="N130" s="592">
        <f>N128/L128-1</f>
        <v>6.2853107344632786E-2</v>
      </c>
      <c r="O130" s="592"/>
      <c r="P130" s="592">
        <f>P128/N128-1</f>
        <v>5.6478405315614655E-2</v>
      </c>
      <c r="Q130" s="592"/>
      <c r="R130" s="592">
        <f>R128/P128-1</f>
        <v>4.1194968553459166E-2</v>
      </c>
      <c r="S130" s="592"/>
      <c r="T130" s="26"/>
    </row>
    <row r="131" spans="2:29" hidden="1" x14ac:dyDescent="0.3">
      <c r="B131" s="182">
        <v>15</v>
      </c>
      <c r="C131" s="184" t="s">
        <v>167</v>
      </c>
      <c r="D131" s="179"/>
      <c r="E131" s="179"/>
      <c r="F131" s="181"/>
      <c r="G131" s="181"/>
      <c r="H131" s="181"/>
      <c r="I131" s="181"/>
      <c r="J131" s="181"/>
      <c r="K131" s="181"/>
      <c r="L131" s="181"/>
      <c r="M131" s="181"/>
      <c r="N131" s="592">
        <f>AVERAGE(F130:O130)</f>
        <v>9.0481500966359804E-2</v>
      </c>
      <c r="O131" s="592"/>
      <c r="P131" s="181"/>
      <c r="Q131" s="180"/>
      <c r="R131" s="180"/>
      <c r="S131" s="180"/>
      <c r="T131" s="185"/>
    </row>
    <row r="132" spans="2:29" hidden="1" x14ac:dyDescent="0.3">
      <c r="B132" s="49"/>
      <c r="C132" s="32"/>
      <c r="D132" s="33"/>
      <c r="E132" s="3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26"/>
    </row>
    <row r="133" spans="2:29" x14ac:dyDescent="0.3">
      <c r="B133" s="182">
        <v>16</v>
      </c>
      <c r="C133" s="184" t="s">
        <v>168</v>
      </c>
      <c r="D133" s="179"/>
      <c r="E133" s="179"/>
      <c r="F133" s="592">
        <f>G128/E128-1</f>
        <v>9.5617276086125358E-2</v>
      </c>
      <c r="G133" s="592"/>
      <c r="H133" s="592">
        <f>I128/G128-1</f>
        <v>8.936566079423236E-2</v>
      </c>
      <c r="I133" s="592"/>
      <c r="J133" s="592">
        <f>K128/I128-1</f>
        <v>7.3548249359521645E-2</v>
      </c>
      <c r="K133" s="592"/>
      <c r="L133" s="592">
        <f>M128/K128-1</f>
        <v>5.9809088197275706E-2</v>
      </c>
      <c r="M133" s="592"/>
      <c r="N133" s="592"/>
      <c r="O133" s="592"/>
      <c r="P133" s="592">
        <f>Q128/O128-1</f>
        <v>-3.6446135831381787E-2</v>
      </c>
      <c r="Q133" s="592"/>
      <c r="R133" s="592">
        <f>S128/Q128-1</f>
        <v>1.7317332523165918E-2</v>
      </c>
      <c r="S133" s="592"/>
      <c r="T133" s="592">
        <f>U128/S128-1</f>
        <v>2.9192175601015169E-2</v>
      </c>
      <c r="U133" s="592"/>
      <c r="V133" s="592">
        <f>W128/U128-1</f>
        <v>4.2800145085237773E-2</v>
      </c>
      <c r="W133" s="592"/>
      <c r="X133" s="592">
        <f>Y128/W128-1</f>
        <v>1.676521739130421E-2</v>
      </c>
      <c r="Y133" s="592">
        <f>Y128/W128-1</f>
        <v>1.676521739130421E-2</v>
      </c>
      <c r="AA133" s="546">
        <f>(AA128-Y128)/Y128</f>
        <v>1.2931034482758527E-2</v>
      </c>
      <c r="AB133" s="546"/>
      <c r="AC133" s="546">
        <f>(AC128-AA128)/AA128</f>
        <v>0.12995609591354271</v>
      </c>
    </row>
    <row r="134" spans="2:29" x14ac:dyDescent="0.3">
      <c r="B134" s="182">
        <v>17</v>
      </c>
      <c r="C134" s="184" t="s">
        <v>167</v>
      </c>
      <c r="D134" s="179"/>
      <c r="E134" s="179"/>
      <c r="F134" s="181"/>
      <c r="G134" s="181"/>
      <c r="H134" s="181"/>
      <c r="I134" s="181"/>
      <c r="J134" s="181"/>
      <c r="K134" s="181"/>
      <c r="L134" s="181"/>
      <c r="M134" s="181"/>
      <c r="N134" s="592">
        <v>6.7699999999999996E-2</v>
      </c>
      <c r="O134" s="592"/>
      <c r="P134" s="181"/>
      <c r="Q134" s="180"/>
      <c r="R134" s="180"/>
      <c r="S134" s="180"/>
      <c r="T134" s="592"/>
      <c r="U134" s="592"/>
      <c r="V134" s="592"/>
      <c r="W134" s="592"/>
      <c r="X134" s="592"/>
      <c r="Y134" s="592"/>
    </row>
    <row r="136" spans="2:29" x14ac:dyDescent="0.3">
      <c r="D136" s="605" t="s">
        <v>26</v>
      </c>
      <c r="E136" s="605"/>
      <c r="F136" s="605"/>
      <c r="G136" s="605" t="s">
        <v>27</v>
      </c>
      <c r="H136" s="605"/>
      <c r="I136" s="605"/>
      <c r="J136" s="605" t="s">
        <v>28</v>
      </c>
      <c r="K136" s="605"/>
      <c r="L136" s="605"/>
      <c r="M136" s="605" t="s">
        <v>29</v>
      </c>
      <c r="N136" s="605"/>
      <c r="O136" s="605"/>
    </row>
    <row r="137" spans="2:29" x14ac:dyDescent="0.3">
      <c r="C137" s="198" t="s">
        <v>169</v>
      </c>
      <c r="D137" s="198" t="s">
        <v>169</v>
      </c>
      <c r="E137" s="199" t="s">
        <v>170</v>
      </c>
      <c r="F137" s="199" t="s">
        <v>93</v>
      </c>
      <c r="G137" s="198" t="s">
        <v>169</v>
      </c>
      <c r="H137" s="199" t="s">
        <v>170</v>
      </c>
      <c r="I137" s="199" t="s">
        <v>93</v>
      </c>
      <c r="J137" s="198" t="s">
        <v>169</v>
      </c>
      <c r="K137" s="199" t="s">
        <v>170</v>
      </c>
      <c r="L137" s="199" t="s">
        <v>93</v>
      </c>
      <c r="M137" s="198" t="s">
        <v>169</v>
      </c>
      <c r="N137" s="199" t="s">
        <v>170</v>
      </c>
      <c r="O137" s="199" t="s">
        <v>93</v>
      </c>
    </row>
    <row r="138" spans="2:29" x14ac:dyDescent="0.3">
      <c r="C138" s="8" t="s">
        <v>108</v>
      </c>
      <c r="D138" s="293">
        <f>'F13'!D18</f>
        <v>49.092715510234015</v>
      </c>
      <c r="E138" s="293">
        <f>[28]F2!E102</f>
        <v>0.91483572999999918</v>
      </c>
      <c r="F138" s="293">
        <f>D138-E138</f>
        <v>48.177879780234015</v>
      </c>
      <c r="G138" s="293">
        <f>'F13'!E21</f>
        <v>55.209052821947338</v>
      </c>
      <c r="H138" s="293">
        <f>[29]Sheet1!$B$10/10^7+[29]Sheet1!$B$17/10^7</f>
        <v>0.30150838900000004</v>
      </c>
      <c r="I138" s="293">
        <f>G138-H138</f>
        <v>54.90754443294734</v>
      </c>
      <c r="J138" s="203">
        <f>'F13'!F21</f>
        <v>57.245676000712606</v>
      </c>
      <c r="K138" s="203">
        <v>0.50566174100000005</v>
      </c>
      <c r="L138" s="293">
        <f>J138-K138</f>
        <v>56.740014259712609</v>
      </c>
      <c r="M138" s="203">
        <f>'F13'!G21</f>
        <v>49.345071502686359</v>
      </c>
      <c r="N138" s="203">
        <f>[30]Sheet3!$G$20</f>
        <v>0.90277451900000016</v>
      </c>
      <c r="O138" s="293">
        <f>M138-N138</f>
        <v>48.442296983686362</v>
      </c>
      <c r="P138" s="203"/>
      <c r="Q138" s="203"/>
    </row>
    <row r="139" spans="2:29" x14ac:dyDescent="0.3">
      <c r="C139" s="8" t="s">
        <v>110</v>
      </c>
      <c r="D139" s="293">
        <f>'F14'!D10</f>
        <v>46.742900082000013</v>
      </c>
      <c r="E139" s="293">
        <f>[28]F2!E103</f>
        <v>1.37</v>
      </c>
      <c r="F139" s="293">
        <f>D139-E139</f>
        <v>45.372900082000015</v>
      </c>
      <c r="G139" s="293">
        <f>'F14'!E13</f>
        <v>52.281784846999997</v>
      </c>
      <c r="H139" s="293">
        <f>[29]Sheet1!$B$16/10^7</f>
        <v>1.1402084780000001</v>
      </c>
      <c r="I139" s="293">
        <f>G139-H139</f>
        <v>51.141576368999999</v>
      </c>
      <c r="J139" s="203">
        <f>'F14'!F13</f>
        <v>55.733996820999984</v>
      </c>
      <c r="K139" s="478">
        <f>(SUM([31]Sheet4!$F$2,[31]Sheet4!$F$17,[31]Sheet4!$F$18,[31]Sheet4!$F$19))/10^7</f>
        <v>1.659519379</v>
      </c>
      <c r="L139" s="293">
        <f>J139-K139</f>
        <v>54.074477441999981</v>
      </c>
      <c r="M139" s="203">
        <f>'F14'!G13</f>
        <v>64.138546364999968</v>
      </c>
      <c r="N139" s="203">
        <f>[30]Sheet3!$G$21</f>
        <v>1.6957845509999998</v>
      </c>
      <c r="O139" s="293">
        <f>M139-N139</f>
        <v>62.442761813999965</v>
      </c>
    </row>
    <row r="140" spans="2:29" x14ac:dyDescent="0.3">
      <c r="D140" s="244">
        <f t="shared" ref="D140:K140" si="13">D139+D138</f>
        <v>95.835615592234035</v>
      </c>
      <c r="E140" s="244">
        <f t="shared" si="13"/>
        <v>2.2848357299999993</v>
      </c>
      <c r="F140" s="244">
        <f t="shared" si="13"/>
        <v>93.550779862234037</v>
      </c>
      <c r="G140" s="244">
        <f t="shared" si="13"/>
        <v>107.49083766894734</v>
      </c>
      <c r="H140" s="244">
        <f t="shared" si="13"/>
        <v>1.4417168670000002</v>
      </c>
      <c r="I140" s="244">
        <f t="shared" si="13"/>
        <v>106.04912080194734</v>
      </c>
      <c r="J140" s="244">
        <f t="shared" si="13"/>
        <v>112.9796728217126</v>
      </c>
      <c r="K140" s="459">
        <f t="shared" si="13"/>
        <v>2.1651811200000002</v>
      </c>
      <c r="L140" s="244">
        <f t="shared" ref="L140:N140" si="14">L139+L138</f>
        <v>110.8144917017126</v>
      </c>
      <c r="M140" s="244">
        <f t="shared" si="14"/>
        <v>113.48361786768632</v>
      </c>
      <c r="N140" s="459">
        <f t="shared" si="14"/>
        <v>2.5985590699999999</v>
      </c>
      <c r="O140" s="244">
        <f t="shared" ref="O140" si="15">O139+O138</f>
        <v>110.88505879768633</v>
      </c>
    </row>
    <row r="141" spans="2:29" x14ac:dyDescent="0.3">
      <c r="E141" s="293">
        <f>'[22]Segment Note'!$C$21/10^7</f>
        <v>2.2848357299999993</v>
      </c>
    </row>
    <row r="142" spans="2:29" x14ac:dyDescent="0.25">
      <c r="C142" s="210" t="s">
        <v>171</v>
      </c>
      <c r="D142" s="211"/>
      <c r="E142" s="211"/>
      <c r="F142" s="211"/>
      <c r="G142" s="211"/>
      <c r="H142" s="211"/>
      <c r="I142" s="211"/>
      <c r="J142" s="211"/>
      <c r="K142" s="257" t="s">
        <v>172</v>
      </c>
      <c r="L142" s="211"/>
    </row>
    <row r="143" spans="2:29" x14ac:dyDescent="0.25">
      <c r="C143" s="212" t="s">
        <v>2</v>
      </c>
      <c r="D143" s="212" t="s">
        <v>173</v>
      </c>
      <c r="E143" s="212" t="s">
        <v>174</v>
      </c>
      <c r="F143" s="212" t="s">
        <v>175</v>
      </c>
      <c r="G143" s="212" t="s">
        <v>176</v>
      </c>
      <c r="H143" s="212" t="s">
        <v>177</v>
      </c>
      <c r="I143" s="212" t="s">
        <v>178</v>
      </c>
      <c r="J143" s="212" t="s">
        <v>179</v>
      </c>
      <c r="K143" s="212" t="s">
        <v>180</v>
      </c>
      <c r="L143" s="212" t="s">
        <v>181</v>
      </c>
      <c r="M143" s="212" t="s">
        <v>182</v>
      </c>
      <c r="N143" s="212" t="s">
        <v>183</v>
      </c>
      <c r="O143" s="212" t="s">
        <v>184</v>
      </c>
      <c r="P143" s="212" t="s">
        <v>185</v>
      </c>
      <c r="Q143" s="212" t="s">
        <v>186</v>
      </c>
    </row>
    <row r="144" spans="2:29" x14ac:dyDescent="0.25">
      <c r="C144" s="213" t="s">
        <v>187</v>
      </c>
      <c r="D144" s="214"/>
      <c r="E144" s="214"/>
      <c r="F144" s="215">
        <v>15.03</v>
      </c>
      <c r="G144" s="214">
        <f>F144*(1+$N$134)</f>
        <v>16.047530999999999</v>
      </c>
      <c r="H144" s="214">
        <f>G144*(1+$N$134)</f>
        <v>17.133948848700001</v>
      </c>
      <c r="I144" s="214">
        <f>H144*(1+$N$134)</f>
        <v>18.293917185756992</v>
      </c>
      <c r="J144" s="214">
        <f>I144*(1+$N$134)</f>
        <v>19.532415379232742</v>
      </c>
      <c r="K144" s="214"/>
      <c r="L144" s="214"/>
      <c r="M144" s="148"/>
      <c r="N144" s="148"/>
      <c r="O144" s="148"/>
    </row>
    <row r="145" spans="3:17" x14ac:dyDescent="0.25">
      <c r="C145" s="213" t="s">
        <v>188</v>
      </c>
      <c r="D145" s="214"/>
      <c r="E145" s="214"/>
      <c r="F145" s="214"/>
      <c r="G145" s="215">
        <v>22.37</v>
      </c>
      <c r="H145" s="214">
        <f>G145*(1+$N$134)</f>
        <v>23.884449000000004</v>
      </c>
      <c r="I145" s="214">
        <f>H145*(1+$N$134)</f>
        <v>25.501426197300006</v>
      </c>
      <c r="J145" s="214">
        <f>I145*(1+$N$134)</f>
        <v>27.22787275085722</v>
      </c>
      <c r="K145" s="214"/>
      <c r="L145" s="214"/>
      <c r="M145" s="148"/>
      <c r="N145" s="148"/>
      <c r="O145" s="148"/>
    </row>
    <row r="146" spans="3:17" x14ac:dyDescent="0.25">
      <c r="C146" s="213" t="s">
        <v>189</v>
      </c>
      <c r="D146" s="214"/>
      <c r="E146" s="214"/>
      <c r="F146" s="214"/>
      <c r="G146" s="214"/>
      <c r="H146" s="215">
        <v>17.84</v>
      </c>
      <c r="I146" s="214">
        <f>H146*(1+$N$134)</f>
        <v>19.047768000000001</v>
      </c>
      <c r="J146" s="214">
        <f>I146*(1+$N$134)</f>
        <v>20.337301893600003</v>
      </c>
      <c r="K146" s="214"/>
      <c r="L146" s="214"/>
      <c r="M146" s="148"/>
      <c r="N146" s="148"/>
      <c r="O146" s="148"/>
    </row>
    <row r="147" spans="3:17" x14ac:dyDescent="0.25">
      <c r="C147" s="213" t="s">
        <v>190</v>
      </c>
      <c r="D147" s="214"/>
      <c r="E147" s="214"/>
      <c r="F147" s="214"/>
      <c r="G147" s="214"/>
      <c r="H147" s="214"/>
      <c r="I147" s="215">
        <v>31.04</v>
      </c>
      <c r="J147" s="214">
        <f>I147*(1+$N$134)</f>
        <v>33.141408000000006</v>
      </c>
      <c r="K147" s="214"/>
      <c r="L147" s="214"/>
      <c r="M147" s="148"/>
      <c r="N147" s="148"/>
      <c r="O147" s="148"/>
    </row>
    <row r="148" spans="3:17" x14ac:dyDescent="0.25">
      <c r="C148" s="213" t="s">
        <v>191</v>
      </c>
      <c r="D148" s="214"/>
      <c r="E148" s="214"/>
      <c r="F148" s="214"/>
      <c r="G148" s="214"/>
      <c r="H148" s="214"/>
      <c r="I148" s="214"/>
      <c r="J148" s="215">
        <v>26.78</v>
      </c>
      <c r="K148" s="214"/>
      <c r="L148" s="214"/>
      <c r="M148" s="148"/>
      <c r="N148" s="148"/>
      <c r="O148" s="148"/>
    </row>
    <row r="149" spans="3:17" x14ac:dyDescent="0.25">
      <c r="C149" s="213" t="s">
        <v>192</v>
      </c>
      <c r="D149" s="213"/>
      <c r="E149" s="213"/>
      <c r="F149" s="213"/>
      <c r="G149" s="213"/>
      <c r="H149" s="213"/>
      <c r="I149" s="213"/>
      <c r="J149" s="216">
        <f>AVERAGE(J144:J148)</f>
        <v>25.403799604737991</v>
      </c>
      <c r="K149" s="214"/>
      <c r="L149" s="213"/>
      <c r="M149" s="148"/>
      <c r="N149" s="148"/>
      <c r="O149" s="148"/>
    </row>
    <row r="150" spans="3:17" x14ac:dyDescent="0.25">
      <c r="C150" s="217" t="s">
        <v>193</v>
      </c>
      <c r="D150" s="217"/>
      <c r="E150" s="217"/>
      <c r="F150" s="217"/>
      <c r="G150" s="217"/>
      <c r="H150" s="217"/>
      <c r="I150" s="217"/>
      <c r="J150" s="217"/>
      <c r="K150" s="216">
        <v>27.12</v>
      </c>
      <c r="L150" s="216">
        <f>[21]F3!L152</f>
        <v>29.619176000000003</v>
      </c>
      <c r="M150" s="216">
        <f>[21]F3!M152+[21]F3!$E$192</f>
        <v>33.747357089057537</v>
      </c>
      <c r="N150" s="216">
        <f>'[32]Normative O&amp;M &amp; P&amp;G Expense'!$E$4</f>
        <v>38.71</v>
      </c>
      <c r="O150" s="216">
        <f>N150*(1+$X$133)</f>
        <v>39.358981565217384</v>
      </c>
      <c r="P150" s="480">
        <f>42.12*(1+[33]WPI!$Q$18)</f>
        <v>42.656009852216741</v>
      </c>
      <c r="Q150" s="203">
        <f>45.91*(1+AC133)</f>
        <v>51.876284363390738</v>
      </c>
    </row>
    <row r="152" spans="3:17" x14ac:dyDescent="0.3">
      <c r="Q152" s="1">
        <f>45.91*(1+13%)</f>
        <v>51.878299999999989</v>
      </c>
    </row>
    <row r="153" spans="3:17" x14ac:dyDescent="0.25">
      <c r="C153" s="210" t="s">
        <v>194</v>
      </c>
      <c r="D153" s="211"/>
      <c r="E153" s="211"/>
      <c r="F153" s="211"/>
      <c r="G153" s="211"/>
      <c r="H153" s="211"/>
      <c r="I153" s="211"/>
      <c r="J153" s="211"/>
      <c r="K153" s="211"/>
      <c r="L153" s="211"/>
    </row>
    <row r="154" spans="3:17" x14ac:dyDescent="0.25">
      <c r="C154" s="212" t="s">
        <v>2</v>
      </c>
      <c r="D154" s="212" t="s">
        <v>173</v>
      </c>
      <c r="E154" s="212" t="s">
        <v>174</v>
      </c>
      <c r="F154" s="212" t="s">
        <v>175</v>
      </c>
      <c r="G154" s="212" t="s">
        <v>176</v>
      </c>
      <c r="H154" s="212" t="s">
        <v>177</v>
      </c>
      <c r="I154" s="212" t="s">
        <v>178</v>
      </c>
      <c r="J154" s="212" t="s">
        <v>179</v>
      </c>
      <c r="K154" s="212" t="s">
        <v>180</v>
      </c>
      <c r="L154" s="212" t="s">
        <v>181</v>
      </c>
      <c r="M154" s="212" t="s">
        <v>182</v>
      </c>
      <c r="N154" s="212" t="s">
        <v>183</v>
      </c>
      <c r="O154" s="212" t="s">
        <v>184</v>
      </c>
      <c r="P154" s="212" t="s">
        <v>185</v>
      </c>
      <c r="Q154" s="212" t="s">
        <v>186</v>
      </c>
    </row>
    <row r="155" spans="3:17" x14ac:dyDescent="0.25">
      <c r="C155" s="213" t="s">
        <v>187</v>
      </c>
      <c r="D155" s="214"/>
      <c r="E155" s="214"/>
      <c r="F155" s="214">
        <v>23.37</v>
      </c>
      <c r="G155" s="214">
        <f>F155*(1+$N$134)</f>
        <v>24.952149000000002</v>
      </c>
      <c r="H155" s="214">
        <f>G155*(1+$N$134)</f>
        <v>26.641409487300006</v>
      </c>
      <c r="I155" s="214">
        <f>H155*(1+$N$134)</f>
        <v>28.445032909590218</v>
      </c>
      <c r="J155" s="214">
        <f>I155*(1+$N$134)</f>
        <v>30.37076163756948</v>
      </c>
      <c r="K155" s="214"/>
      <c r="L155" s="214"/>
      <c r="M155" s="148"/>
      <c r="N155" s="148"/>
      <c r="O155" s="148"/>
    </row>
    <row r="156" spans="3:17" x14ac:dyDescent="0.25">
      <c r="C156" s="213" t="s">
        <v>188</v>
      </c>
      <c r="D156" s="214"/>
      <c r="E156" s="214"/>
      <c r="F156" s="214"/>
      <c r="G156" s="214">
        <v>26.31</v>
      </c>
      <c r="H156" s="214">
        <f>G156*(1+$N$134)</f>
        <v>28.091187000000001</v>
      </c>
      <c r="I156" s="214">
        <f>H156*(1+$N$134)</f>
        <v>29.992960359900003</v>
      </c>
      <c r="J156" s="214">
        <f>I156*(1+$N$134)</f>
        <v>32.023483776265238</v>
      </c>
      <c r="K156" s="214"/>
      <c r="L156" s="214"/>
      <c r="M156" s="148"/>
      <c r="N156" s="148"/>
      <c r="O156" s="148"/>
    </row>
    <row r="157" spans="3:17" x14ac:dyDescent="0.25">
      <c r="C157" s="213" t="s">
        <v>189</v>
      </c>
      <c r="D157" s="214"/>
      <c r="E157" s="214"/>
      <c r="F157" s="214"/>
      <c r="G157" s="214"/>
      <c r="H157" s="215">
        <v>20.51</v>
      </c>
      <c r="I157" s="214">
        <f>H157*(1+$N$134)</f>
        <v>21.898527000000005</v>
      </c>
      <c r="J157" s="214">
        <f>I157*(1+$N$134)</f>
        <v>23.381057277900009</v>
      </c>
      <c r="K157" s="214"/>
      <c r="L157" s="214"/>
      <c r="M157" s="148"/>
      <c r="N157" s="148"/>
      <c r="O157" s="148"/>
    </row>
    <row r="158" spans="3:17" x14ac:dyDescent="0.25">
      <c r="C158" s="213" t="s">
        <v>190</v>
      </c>
      <c r="D158" s="214"/>
      <c r="E158" s="214"/>
      <c r="F158" s="214"/>
      <c r="G158" s="214"/>
      <c r="H158" s="214"/>
      <c r="I158" s="215">
        <v>25.27</v>
      </c>
      <c r="J158" s="214">
        <f>I158*(1+$N$134)</f>
        <v>26.980779000000002</v>
      </c>
      <c r="K158" s="214"/>
      <c r="L158" s="214"/>
      <c r="M158" s="148"/>
      <c r="N158" s="148"/>
      <c r="O158" s="148"/>
    </row>
    <row r="159" spans="3:17" x14ac:dyDescent="0.25">
      <c r="C159" s="213" t="s">
        <v>191</v>
      </c>
      <c r="D159" s="214"/>
      <c r="E159" s="214"/>
      <c r="F159" s="214"/>
      <c r="G159" s="214"/>
      <c r="H159" s="214"/>
      <c r="I159" s="214"/>
      <c r="J159" s="215">
        <v>17.45</v>
      </c>
      <c r="K159" s="214"/>
      <c r="L159" s="214"/>
      <c r="M159" s="148"/>
      <c r="N159" s="148"/>
      <c r="O159" s="148"/>
    </row>
    <row r="160" spans="3:17" x14ac:dyDescent="0.25">
      <c r="C160" s="213" t="s">
        <v>195</v>
      </c>
      <c r="D160" s="213"/>
      <c r="E160" s="213"/>
      <c r="F160" s="213"/>
      <c r="G160" s="213"/>
      <c r="H160" s="213"/>
      <c r="I160" s="213"/>
      <c r="J160" s="216">
        <f>AVERAGE(J155:J159)</f>
        <v>26.041216338346942</v>
      </c>
      <c r="K160" s="214"/>
      <c r="L160" s="213"/>
      <c r="M160" s="148"/>
      <c r="N160" s="148"/>
      <c r="O160" s="148"/>
    </row>
    <row r="161" spans="2:17" x14ac:dyDescent="0.25">
      <c r="C161" s="217" t="s">
        <v>196</v>
      </c>
      <c r="D161" s="217"/>
      <c r="E161" s="217"/>
      <c r="F161" s="217"/>
      <c r="G161" s="217"/>
      <c r="H161" s="217"/>
      <c r="I161" s="217"/>
      <c r="J161" s="217"/>
      <c r="K161" s="216">
        <v>27.8</v>
      </c>
      <c r="L161" s="216">
        <f>[21]F3!L163</f>
        <v>30.360940000000006</v>
      </c>
      <c r="M161" s="216">
        <f>[21]F3!M163+[21]F3!$E$193</f>
        <v>34.592504657774768</v>
      </c>
      <c r="N161" s="216">
        <f>'[32]Normative O&amp;M &amp; P&amp;G Expense'!$E$5</f>
        <v>39.67</v>
      </c>
      <c r="O161" s="216">
        <f>N161*(1+$Y$133)</f>
        <v>40.335076173913038</v>
      </c>
      <c r="P161" s="480">
        <f>43.16*(1+[33]WPI!$Q$18)</f>
        <v>43.709244663382584</v>
      </c>
      <c r="Q161" s="203">
        <f>47.05*(1+AC133)</f>
        <v>53.164434312732176</v>
      </c>
    </row>
    <row r="162" spans="2:17" x14ac:dyDescent="0.3">
      <c r="Q162" s="1">
        <f>47.05*(1+13%)</f>
        <v>53.166499999999992</v>
      </c>
    </row>
    <row r="163" spans="2:17" x14ac:dyDescent="0.3">
      <c r="N163" s="148" t="s">
        <v>197</v>
      </c>
      <c r="O163" s="227">
        <f>Q32-Q37</f>
        <v>195.37199112099998</v>
      </c>
    </row>
    <row r="164" spans="2:17" x14ac:dyDescent="0.3">
      <c r="C164" s="256" t="s">
        <v>198</v>
      </c>
      <c r="N164" s="148" t="s">
        <v>199</v>
      </c>
      <c r="O164" s="227">
        <f>Q33-Q38</f>
        <v>-3.1895614409999999</v>
      </c>
    </row>
    <row r="165" spans="2:17" x14ac:dyDescent="0.3">
      <c r="N165" s="148" t="s">
        <v>200</v>
      </c>
      <c r="O165" s="227">
        <f>Q34</f>
        <v>0</v>
      </c>
    </row>
    <row r="166" spans="2:17" x14ac:dyDescent="0.3">
      <c r="O166" s="207"/>
    </row>
    <row r="168" spans="2:17" hidden="1" x14ac:dyDescent="0.3">
      <c r="B168" s="600" t="s">
        <v>1</v>
      </c>
      <c r="C168" s="602" t="s">
        <v>2</v>
      </c>
      <c r="D168" s="600" t="s">
        <v>201</v>
      </c>
      <c r="E168" s="600" t="s">
        <v>202</v>
      </c>
      <c r="F168" s="600" t="s">
        <v>203</v>
      </c>
      <c r="G168" s="600" t="s">
        <v>204</v>
      </c>
      <c r="H168" s="600" t="s">
        <v>205</v>
      </c>
      <c r="I168" s="600" t="s">
        <v>206</v>
      </c>
      <c r="J168" s="600" t="s">
        <v>207</v>
      </c>
      <c r="K168" s="600" t="s">
        <v>208</v>
      </c>
      <c r="L168" s="600" t="s">
        <v>209</v>
      </c>
      <c r="M168" s="600" t="s">
        <v>210</v>
      </c>
      <c r="N168" s="600" t="s">
        <v>211</v>
      </c>
      <c r="O168" s="600" t="s">
        <v>212</v>
      </c>
    </row>
    <row r="169" spans="2:17" ht="14.4" hidden="1" thickBot="1" x14ac:dyDescent="0.35">
      <c r="B169" s="601"/>
      <c r="C169" s="603"/>
      <c r="D169" s="601"/>
      <c r="E169" s="601"/>
      <c r="F169" s="601"/>
      <c r="G169" s="601"/>
      <c r="H169" s="601"/>
      <c r="I169" s="601"/>
      <c r="J169" s="601"/>
      <c r="K169" s="601"/>
      <c r="L169" s="601"/>
      <c r="M169" s="601"/>
      <c r="N169" s="601"/>
      <c r="O169" s="601"/>
    </row>
    <row r="170" spans="2:17" ht="14.4" hidden="1" thickBot="1" x14ac:dyDescent="0.35">
      <c r="B170" s="222">
        <v>1</v>
      </c>
      <c r="C170" s="223" t="s">
        <v>213</v>
      </c>
      <c r="D170" s="224">
        <v>0</v>
      </c>
      <c r="E170" s="224">
        <v>0</v>
      </c>
      <c r="F170" s="224">
        <f>G170+H170</f>
        <v>0</v>
      </c>
      <c r="G170" s="224">
        <v>0</v>
      </c>
      <c r="H170" s="224">
        <v>0</v>
      </c>
      <c r="I170" s="232">
        <v>0</v>
      </c>
      <c r="J170" s="232">
        <v>0</v>
      </c>
      <c r="K170" s="232">
        <v>0</v>
      </c>
      <c r="L170" s="232">
        <v>0</v>
      </c>
      <c r="M170" s="232">
        <f>K170+L170</f>
        <v>0</v>
      </c>
      <c r="N170" s="232" t="e">
        <f>$O$164/$O$166*M170</f>
        <v>#DIV/0!</v>
      </c>
      <c r="O170" s="232" t="e">
        <f>$O$165/$O$166*M170</f>
        <v>#DIV/0!</v>
      </c>
    </row>
    <row r="171" spans="2:17" ht="14.4" hidden="1" thickBot="1" x14ac:dyDescent="0.35">
      <c r="B171" s="222">
        <v>2</v>
      </c>
      <c r="C171" s="223" t="s">
        <v>214</v>
      </c>
      <c r="D171" s="224">
        <v>1</v>
      </c>
      <c r="E171" s="224">
        <v>0</v>
      </c>
      <c r="F171" s="224">
        <f t="shared" ref="F171:F173" si="16">G171+H171</f>
        <v>5</v>
      </c>
      <c r="G171" s="224">
        <v>5</v>
      </c>
      <c r="H171" s="224">
        <v>0</v>
      </c>
      <c r="I171" s="232">
        <v>0.43609999999999999</v>
      </c>
      <c r="J171" s="232">
        <v>0.4506</v>
      </c>
      <c r="K171" s="232">
        <f>G171*I171*(1+$R$133)</f>
        <v>2.2182604435667632</v>
      </c>
      <c r="L171" s="232">
        <f>H171*J171/2</f>
        <v>0</v>
      </c>
      <c r="M171" s="232">
        <f t="shared" ref="M171:M173" si="17">K171+L171</f>
        <v>2.2182604435667632</v>
      </c>
      <c r="N171" s="232" t="e">
        <f t="shared" ref="N171:N173" si="18">$O$164/$O$166*M171</f>
        <v>#DIV/0!</v>
      </c>
      <c r="O171" s="232" t="e">
        <f t="shared" ref="O171:O173" si="19">$O$165/$O$166*M171</f>
        <v>#DIV/0!</v>
      </c>
    </row>
    <row r="172" spans="2:17" ht="14.4" hidden="1" thickBot="1" x14ac:dyDescent="0.35">
      <c r="B172" s="222">
        <v>3</v>
      </c>
      <c r="C172" s="223" t="s">
        <v>215</v>
      </c>
      <c r="D172" s="224">
        <v>2</v>
      </c>
      <c r="E172" s="224">
        <v>2</v>
      </c>
      <c r="F172" s="224">
        <f t="shared" si="16"/>
        <v>61</v>
      </c>
      <c r="G172" s="224">
        <f>7+10+3+6+7+1</f>
        <v>34</v>
      </c>
      <c r="H172" s="224">
        <v>27</v>
      </c>
      <c r="I172" s="232">
        <v>0.3115</v>
      </c>
      <c r="J172" s="232">
        <v>0.32179999999999997</v>
      </c>
      <c r="K172" s="232">
        <f>G172*I172*(1+$R$133)</f>
        <v>10.774407868752849</v>
      </c>
      <c r="L172" s="232">
        <f>H172*J172/2</f>
        <v>4.3442999999999996</v>
      </c>
      <c r="M172" s="232">
        <f t="shared" si="17"/>
        <v>15.11870786875285</v>
      </c>
      <c r="N172" s="232" t="e">
        <f t="shared" si="18"/>
        <v>#DIV/0!</v>
      </c>
      <c r="O172" s="232" t="e">
        <f t="shared" si="19"/>
        <v>#DIV/0!</v>
      </c>
    </row>
    <row r="173" spans="2:17" ht="14.4" hidden="1" thickBot="1" x14ac:dyDescent="0.35">
      <c r="B173" s="222">
        <v>4</v>
      </c>
      <c r="C173" s="223" t="s">
        <v>216</v>
      </c>
      <c r="D173" s="224">
        <v>0</v>
      </c>
      <c r="E173" s="224">
        <v>0</v>
      </c>
      <c r="F173" s="224">
        <f t="shared" si="16"/>
        <v>0</v>
      </c>
      <c r="G173" s="224">
        <v>0</v>
      </c>
      <c r="H173" s="224">
        <v>0</v>
      </c>
      <c r="I173" s="232">
        <v>0</v>
      </c>
      <c r="J173" s="232">
        <v>0</v>
      </c>
      <c r="K173" s="232">
        <v>0</v>
      </c>
      <c r="L173" s="232">
        <f>H173*J173/2</f>
        <v>0</v>
      </c>
      <c r="M173" s="232">
        <f t="shared" si="17"/>
        <v>0</v>
      </c>
      <c r="N173" s="232" t="e">
        <f t="shared" si="18"/>
        <v>#DIV/0!</v>
      </c>
      <c r="O173" s="232" t="e">
        <f t="shared" si="19"/>
        <v>#DIV/0!</v>
      </c>
    </row>
    <row r="174" spans="2:17" ht="14.4" hidden="1" thickBot="1" x14ac:dyDescent="0.35">
      <c r="B174" s="222">
        <v>5</v>
      </c>
      <c r="C174" s="225" t="s">
        <v>217</v>
      </c>
      <c r="D174" s="226">
        <v>3</v>
      </c>
      <c r="E174" s="226">
        <v>2</v>
      </c>
      <c r="F174" s="226">
        <f t="shared" ref="F174:O174" si="20">SUM(F170:F173)</f>
        <v>66</v>
      </c>
      <c r="G174" s="226">
        <f t="shared" si="20"/>
        <v>39</v>
      </c>
      <c r="H174" s="226">
        <f t="shared" si="20"/>
        <v>27</v>
      </c>
      <c r="I174" s="231">
        <f t="shared" si="20"/>
        <v>0.74760000000000004</v>
      </c>
      <c r="J174" s="231">
        <f t="shared" si="20"/>
        <v>0.77239999999999998</v>
      </c>
      <c r="K174" s="231">
        <f t="shared" si="20"/>
        <v>12.992668312319612</v>
      </c>
      <c r="L174" s="231">
        <f t="shared" si="20"/>
        <v>4.3442999999999996</v>
      </c>
      <c r="M174" s="231">
        <f t="shared" si="20"/>
        <v>17.336968312319613</v>
      </c>
      <c r="N174" s="231" t="e">
        <f t="shared" si="20"/>
        <v>#DIV/0!</v>
      </c>
      <c r="O174" s="231" t="e">
        <f t="shared" si="20"/>
        <v>#DIV/0!</v>
      </c>
    </row>
    <row r="175" spans="2:17" hidden="1" x14ac:dyDescent="0.3"/>
    <row r="176" spans="2:17" hidden="1" x14ac:dyDescent="0.3">
      <c r="B176" s="600" t="s">
        <v>1</v>
      </c>
      <c r="C176" s="602" t="s">
        <v>2</v>
      </c>
      <c r="D176" s="600" t="s">
        <v>201</v>
      </c>
      <c r="E176" s="600" t="s">
        <v>202</v>
      </c>
      <c r="F176" s="600" t="s">
        <v>203</v>
      </c>
      <c r="G176" s="600" t="s">
        <v>218</v>
      </c>
      <c r="H176" s="600" t="s">
        <v>219</v>
      </c>
      <c r="I176" s="600" t="s">
        <v>220</v>
      </c>
      <c r="J176" s="600" t="s">
        <v>221</v>
      </c>
      <c r="K176" s="600" t="s">
        <v>208</v>
      </c>
      <c r="L176" s="600" t="s">
        <v>209</v>
      </c>
      <c r="M176" s="600" t="s">
        <v>210</v>
      </c>
      <c r="N176" s="600" t="s">
        <v>211</v>
      </c>
      <c r="O176" s="600" t="s">
        <v>212</v>
      </c>
    </row>
    <row r="177" spans="2:15" ht="14.4" hidden="1" thickBot="1" x14ac:dyDescent="0.35">
      <c r="B177" s="601"/>
      <c r="C177" s="603"/>
      <c r="D177" s="601"/>
      <c r="E177" s="601"/>
      <c r="F177" s="601"/>
      <c r="G177" s="601"/>
      <c r="H177" s="601"/>
      <c r="I177" s="601"/>
      <c r="J177" s="601"/>
      <c r="K177" s="601"/>
      <c r="L177" s="601"/>
      <c r="M177" s="601"/>
      <c r="N177" s="601"/>
      <c r="O177" s="601"/>
    </row>
    <row r="178" spans="2:15" ht="14.4" hidden="1" thickBot="1" x14ac:dyDescent="0.35">
      <c r="B178" s="222">
        <v>1</v>
      </c>
      <c r="C178" s="223" t="s">
        <v>222</v>
      </c>
      <c r="D178" s="224">
        <v>82.57</v>
      </c>
      <c r="E178" s="224">
        <v>150.76</v>
      </c>
      <c r="F178" s="224">
        <f>D178+E178</f>
        <v>233.32999999999998</v>
      </c>
      <c r="G178" s="224">
        <v>82.57</v>
      </c>
      <c r="H178" s="224">
        <v>150.76</v>
      </c>
      <c r="I178" s="232">
        <f>0.209</f>
        <v>0.20899999999999999</v>
      </c>
      <c r="J178" s="232">
        <v>0.216</v>
      </c>
      <c r="K178" s="232">
        <f>G178*I178*(1+$R$133)/100</f>
        <v>0.17555977458605498</v>
      </c>
      <c r="L178" s="232">
        <f>H178*J178/2/100</f>
        <v>0.16282080000000002</v>
      </c>
      <c r="M178" s="232">
        <f>K178+L178</f>
        <v>0.33838057458605497</v>
      </c>
      <c r="N178" s="232" t="e">
        <f>$O$164/$O$166*M178</f>
        <v>#DIV/0!</v>
      </c>
      <c r="O178" s="232" t="e">
        <f>$O$165/$O$166*M178</f>
        <v>#DIV/0!</v>
      </c>
    </row>
    <row r="179" spans="2:15" ht="14.4" hidden="1" thickBot="1" x14ac:dyDescent="0.35">
      <c r="B179" s="222">
        <v>2</v>
      </c>
      <c r="C179" s="223" t="s">
        <v>223</v>
      </c>
      <c r="D179" s="224">
        <v>169.75</v>
      </c>
      <c r="E179" s="224">
        <v>32.5</v>
      </c>
      <c r="F179" s="224">
        <f>D179+E179</f>
        <v>202.25</v>
      </c>
      <c r="G179" s="224">
        <v>169.75</v>
      </c>
      <c r="H179" s="224">
        <v>32.5</v>
      </c>
      <c r="I179" s="232">
        <v>0.313</v>
      </c>
      <c r="J179" s="232">
        <v>0.32400000000000001</v>
      </c>
      <c r="K179" s="232">
        <f>G179*I179*(1+$R$133)/100</f>
        <v>0.5405185018228772</v>
      </c>
      <c r="L179" s="232">
        <f>H179*J179/2/100</f>
        <v>5.2650000000000002E-2</v>
      </c>
      <c r="M179" s="232">
        <f t="shared" ref="M179" si="21">K179+L179</f>
        <v>0.59316850182287717</v>
      </c>
      <c r="N179" s="232" t="e">
        <f t="shared" ref="N179" si="22">$O$164/$O$166*M179</f>
        <v>#DIV/0!</v>
      </c>
      <c r="O179" s="232" t="e">
        <f t="shared" ref="O179" si="23">$O$165/$O$166*M179</f>
        <v>#DIV/0!</v>
      </c>
    </row>
    <row r="180" spans="2:15" ht="14.4" hidden="1" thickBot="1" x14ac:dyDescent="0.35">
      <c r="B180" s="222">
        <v>3</v>
      </c>
      <c r="C180" s="225" t="s">
        <v>224</v>
      </c>
      <c r="D180" s="226">
        <f>SUM(D178:D179)</f>
        <v>252.32</v>
      </c>
      <c r="E180" s="226">
        <f t="shared" ref="E180:O180" si="24">SUM(E178:E179)</f>
        <v>183.26</v>
      </c>
      <c r="F180" s="226">
        <f t="shared" si="24"/>
        <v>435.58</v>
      </c>
      <c r="G180" s="226">
        <f t="shared" si="24"/>
        <v>252.32</v>
      </c>
      <c r="H180" s="226">
        <f t="shared" si="24"/>
        <v>183.26</v>
      </c>
      <c r="I180" s="231">
        <f t="shared" si="24"/>
        <v>0.52200000000000002</v>
      </c>
      <c r="J180" s="231">
        <f t="shared" si="24"/>
        <v>0.54</v>
      </c>
      <c r="K180" s="231">
        <f t="shared" si="24"/>
        <v>0.71607827640893218</v>
      </c>
      <c r="L180" s="231">
        <f t="shared" si="24"/>
        <v>0.21547080000000002</v>
      </c>
      <c r="M180" s="231">
        <f t="shared" si="24"/>
        <v>0.93154907640893214</v>
      </c>
      <c r="N180" s="231" t="e">
        <f t="shared" si="24"/>
        <v>#DIV/0!</v>
      </c>
      <c r="O180" s="231" t="e">
        <f t="shared" si="24"/>
        <v>#DIV/0!</v>
      </c>
    </row>
    <row r="181" spans="2:15" ht="14.4" hidden="1" thickBot="1" x14ac:dyDescent="0.35">
      <c r="M181" s="1" t="s">
        <v>225</v>
      </c>
      <c r="N181" s="234" t="e">
        <f>N174+N180</f>
        <v>#DIV/0!</v>
      </c>
      <c r="O181" s="231" t="e">
        <f>O174+O180</f>
        <v>#DIV/0!</v>
      </c>
    </row>
    <row r="182" spans="2:15" x14ac:dyDescent="0.3">
      <c r="C182" s="256" t="s">
        <v>226</v>
      </c>
    </row>
    <row r="183" spans="2:15" x14ac:dyDescent="0.3">
      <c r="E183" s="19" t="s">
        <v>26</v>
      </c>
      <c r="F183" s="19" t="s">
        <v>27</v>
      </c>
      <c r="G183" s="1" t="s">
        <v>28</v>
      </c>
      <c r="H183" s="1" t="s">
        <v>29</v>
      </c>
    </row>
    <row r="184" spans="2:15" x14ac:dyDescent="0.3">
      <c r="C184" s="258" t="s">
        <v>227</v>
      </c>
      <c r="D184" s="258" t="s">
        <v>228</v>
      </c>
      <c r="E184" s="259">
        <f>[21]F3!$E$188</f>
        <v>4169.0581145169999</v>
      </c>
      <c r="F184" s="304">
        <f>E185</f>
        <v>4583.412148110865</v>
      </c>
      <c r="G184" s="1">
        <v>4904.87</v>
      </c>
      <c r="H184" s="1">
        <v>5278.41</v>
      </c>
    </row>
    <row r="185" spans="2:15" x14ac:dyDescent="0.3">
      <c r="C185" s="258" t="s">
        <v>227</v>
      </c>
      <c r="D185" s="258" t="s">
        <v>229</v>
      </c>
      <c r="E185" s="259">
        <f>[21]F3!$J$188</f>
        <v>4583.412148110865</v>
      </c>
      <c r="F185" s="227">
        <f>'[34]Normative O&amp;M'!$E$11</f>
        <v>4905.2752169947298</v>
      </c>
      <c r="G185" s="463">
        <f>'[35]Sharing of Gain (Loss)'!$E$11</f>
        <v>5278.4065457042298</v>
      </c>
      <c r="H185" s="463">
        <f>(AVERAGE('F6'!O9,'F6'!O11))+(D208/2)</f>
        <v>5533.4755253612302</v>
      </c>
    </row>
    <row r="186" spans="2:15" x14ac:dyDescent="0.3">
      <c r="C186" s="258" t="s">
        <v>230</v>
      </c>
      <c r="D186" s="258" t="s">
        <v>231</v>
      </c>
      <c r="E186" s="260">
        <f>E185/E184-1</f>
        <v>9.9387924613247858E-2</v>
      </c>
      <c r="F186" s="260">
        <f>F185/F184-1</f>
        <v>7.0223462015417182E-2</v>
      </c>
      <c r="G186" s="260">
        <f>G185/G184-1</f>
        <v>7.6156258107601182E-2</v>
      </c>
      <c r="H186" s="260">
        <f>H185/H184-1</f>
        <v>4.8322416288471448E-2</v>
      </c>
      <c r="I186" s="12"/>
    </row>
    <row r="187" spans="2:15" x14ac:dyDescent="0.3">
      <c r="C187" s="258" t="s">
        <v>232</v>
      </c>
      <c r="D187" s="258" t="s">
        <v>233</v>
      </c>
      <c r="E187" s="261">
        <f>N150</f>
        <v>38.71</v>
      </c>
      <c r="F187" s="261">
        <f>O150</f>
        <v>39.358981565217384</v>
      </c>
      <c r="G187" s="203">
        <f>P150</f>
        <v>42.656009852216741</v>
      </c>
      <c r="H187" s="203">
        <f>Q150</f>
        <v>51.876284363390738</v>
      </c>
      <c r="I187" s="203">
        <f>H187+H189</f>
        <v>54.383071771897626</v>
      </c>
    </row>
    <row r="188" spans="2:15" x14ac:dyDescent="0.3">
      <c r="C188" s="258" t="s">
        <v>234</v>
      </c>
      <c r="D188" s="258" t="s">
        <v>235</v>
      </c>
      <c r="E188" s="261">
        <f>N161</f>
        <v>39.67</v>
      </c>
      <c r="F188" s="261">
        <f>O161</f>
        <v>40.335076173913038</v>
      </c>
      <c r="G188" s="203">
        <f>P161</f>
        <v>43.709244663382584</v>
      </c>
      <c r="H188" s="203">
        <f>Q161</f>
        <v>53.164434312732176</v>
      </c>
      <c r="I188" s="203">
        <f>H188+H190</f>
        <v>55.733468239333114</v>
      </c>
      <c r="K188" s="203"/>
    </row>
    <row r="189" spans="2:15" x14ac:dyDescent="0.3">
      <c r="C189" s="262" t="s">
        <v>236</v>
      </c>
      <c r="D189" s="258" t="s">
        <v>237</v>
      </c>
      <c r="E189" s="263">
        <f>E187*$E$186</f>
        <v>3.8473065617788245</v>
      </c>
      <c r="F189" s="263">
        <f>F187*$F$186</f>
        <v>2.7639239469105479</v>
      </c>
      <c r="G189" s="263">
        <f>G187*G186</f>
        <v>3.248522096145797</v>
      </c>
      <c r="H189" s="263">
        <f>H187*H186</f>
        <v>2.5067874085068893</v>
      </c>
    </row>
    <row r="190" spans="2:15" x14ac:dyDescent="0.3">
      <c r="C190" s="262" t="s">
        <v>238</v>
      </c>
      <c r="D190" s="258" t="s">
        <v>239</v>
      </c>
      <c r="E190" s="263">
        <f>E188*$E$186</f>
        <v>3.9427189694075429</v>
      </c>
      <c r="F190" s="263">
        <f>F188*$F$186</f>
        <v>2.8324686895877407</v>
      </c>
      <c r="G190" s="263">
        <f>G188*$G$186</f>
        <v>3.3287325182728535</v>
      </c>
      <c r="H190" s="263">
        <f>H186*H188</f>
        <v>2.5690339266009397</v>
      </c>
    </row>
    <row r="193" spans="3:5" x14ac:dyDescent="0.3">
      <c r="C193" s="148" t="s">
        <v>226</v>
      </c>
      <c r="D193" s="148"/>
      <c r="E193" s="148"/>
    </row>
    <row r="194" spans="3:5" x14ac:dyDescent="0.3">
      <c r="C194" s="148"/>
      <c r="D194" s="148"/>
      <c r="E194" s="148" t="s">
        <v>27</v>
      </c>
    </row>
    <row r="195" spans="3:5" ht="27.6" x14ac:dyDescent="0.3">
      <c r="C195" s="321" t="s">
        <v>240</v>
      </c>
      <c r="D195" s="148" t="s">
        <v>228</v>
      </c>
      <c r="E195" s="148">
        <v>4583.412148110865</v>
      </c>
    </row>
    <row r="196" spans="3:5" ht="27.6" x14ac:dyDescent="0.3">
      <c r="C196" s="321" t="s">
        <v>241</v>
      </c>
      <c r="D196" s="148" t="s">
        <v>229</v>
      </c>
      <c r="E196" s="148">
        <v>4905.2752169947298</v>
      </c>
    </row>
    <row r="197" spans="3:5" x14ac:dyDescent="0.3">
      <c r="C197" s="148" t="s">
        <v>230</v>
      </c>
      <c r="D197" s="148" t="s">
        <v>231</v>
      </c>
      <c r="E197" s="324">
        <f>((E196-E195)/E195)</f>
        <v>7.022346201541714E-2</v>
      </c>
    </row>
    <row r="198" spans="3:5" x14ac:dyDescent="0.3">
      <c r="C198" s="148" t="s">
        <v>242</v>
      </c>
      <c r="D198" s="148" t="s">
        <v>233</v>
      </c>
      <c r="E198" s="323">
        <v>39.358981565217384</v>
      </c>
    </row>
    <row r="199" spans="3:5" x14ac:dyDescent="0.3">
      <c r="C199" s="148" t="s">
        <v>243</v>
      </c>
      <c r="D199" s="148" t="s">
        <v>235</v>
      </c>
      <c r="E199" s="148">
        <v>40.335076173913038</v>
      </c>
    </row>
    <row r="200" spans="3:5" ht="41.4" x14ac:dyDescent="0.3">
      <c r="C200" s="321" t="s">
        <v>244</v>
      </c>
      <c r="D200" s="148" t="s">
        <v>237</v>
      </c>
      <c r="E200" s="148">
        <v>2.7639239469105479</v>
      </c>
    </row>
    <row r="201" spans="3:5" ht="41.4" x14ac:dyDescent="0.3">
      <c r="C201" s="321" t="s">
        <v>245</v>
      </c>
      <c r="D201" s="148" t="s">
        <v>239</v>
      </c>
      <c r="E201" s="148">
        <v>2.8324686895877407</v>
      </c>
    </row>
    <row r="208" spans="3:5" x14ac:dyDescent="0.3">
      <c r="C208" s="1" t="s">
        <v>246</v>
      </c>
      <c r="D208" s="172">
        <f>'[36]Deposit Works'!$G$63</f>
        <v>60.362829188000021</v>
      </c>
    </row>
  </sheetData>
  <mergeCells count="147">
    <mergeCell ref="Z113:AA113"/>
    <mergeCell ref="AB113:AC113"/>
    <mergeCell ref="P130:Q130"/>
    <mergeCell ref="L133:M133"/>
    <mergeCell ref="F68:G68"/>
    <mergeCell ref="J54:K54"/>
    <mergeCell ref="T133:U133"/>
    <mergeCell ref="N133:O133"/>
    <mergeCell ref="R113:S113"/>
    <mergeCell ref="R130:S130"/>
    <mergeCell ref="T113:U113"/>
    <mergeCell ref="P113:Q113"/>
    <mergeCell ref="N113:O113"/>
    <mergeCell ref="B112:Q112"/>
    <mergeCell ref="B67:B69"/>
    <mergeCell ref="C67:C69"/>
    <mergeCell ref="J130:K130"/>
    <mergeCell ref="L130:M130"/>
    <mergeCell ref="H77:I77"/>
    <mergeCell ref="J102:L102"/>
    <mergeCell ref="J68:K68"/>
    <mergeCell ref="J77:K77"/>
    <mergeCell ref="M102:O102"/>
    <mergeCell ref="X113:Y113"/>
    <mergeCell ref="J29:K29"/>
    <mergeCell ref="H41:I41"/>
    <mergeCell ref="G136:I136"/>
    <mergeCell ref="H130:I130"/>
    <mergeCell ref="H89:I89"/>
    <mergeCell ref="D136:F136"/>
    <mergeCell ref="D102:F102"/>
    <mergeCell ref="F113:G113"/>
    <mergeCell ref="F133:G133"/>
    <mergeCell ref="H133:I133"/>
    <mergeCell ref="F53:G53"/>
    <mergeCell ref="H53:I53"/>
    <mergeCell ref="H43:I43"/>
    <mergeCell ref="H42:I42"/>
    <mergeCell ref="H29:I29"/>
    <mergeCell ref="B176:B177"/>
    <mergeCell ref="C176:C177"/>
    <mergeCell ref="D176:D177"/>
    <mergeCell ref="E176:E177"/>
    <mergeCell ref="J136:L136"/>
    <mergeCell ref="M136:O136"/>
    <mergeCell ref="B2:F2"/>
    <mergeCell ref="B4:F4"/>
    <mergeCell ref="B11:F11"/>
    <mergeCell ref="B18:F18"/>
    <mergeCell ref="B42:B44"/>
    <mergeCell ref="C42:C44"/>
    <mergeCell ref="D42:E42"/>
    <mergeCell ref="D43:E43"/>
    <mergeCell ref="F28:G28"/>
    <mergeCell ref="D28:E28"/>
    <mergeCell ref="D29:E29"/>
    <mergeCell ref="B28:B30"/>
    <mergeCell ref="C28:C30"/>
    <mergeCell ref="F29:G29"/>
    <mergeCell ref="B27:G27"/>
    <mergeCell ref="B41:G41"/>
    <mergeCell ref="F42:G42"/>
    <mergeCell ref="F43:G43"/>
    <mergeCell ref="B168:B169"/>
    <mergeCell ref="D168:D169"/>
    <mergeCell ref="C168:C169"/>
    <mergeCell ref="E168:E169"/>
    <mergeCell ref="F168:F169"/>
    <mergeCell ref="B52:G52"/>
    <mergeCell ref="B88:B90"/>
    <mergeCell ref="C88:C90"/>
    <mergeCell ref="D88:E88"/>
    <mergeCell ref="D89:E89"/>
    <mergeCell ref="G168:G169"/>
    <mergeCell ref="B113:B114"/>
    <mergeCell ref="C113:C114"/>
    <mergeCell ref="C101:C103"/>
    <mergeCell ref="D101:E101"/>
    <mergeCell ref="R30:S30"/>
    <mergeCell ref="H76:I76"/>
    <mergeCell ref="F176:F177"/>
    <mergeCell ref="G176:G177"/>
    <mergeCell ref="H176:H177"/>
    <mergeCell ref="I176:I177"/>
    <mergeCell ref="J176:J177"/>
    <mergeCell ref="M168:M169"/>
    <mergeCell ref="N168:N169"/>
    <mergeCell ref="O168:O169"/>
    <mergeCell ref="H168:H169"/>
    <mergeCell ref="I168:I169"/>
    <mergeCell ref="J168:J169"/>
    <mergeCell ref="K168:K169"/>
    <mergeCell ref="N176:N177"/>
    <mergeCell ref="O176:O177"/>
    <mergeCell ref="K176:K177"/>
    <mergeCell ref="L176:L177"/>
    <mergeCell ref="M176:M177"/>
    <mergeCell ref="L168:L169"/>
    <mergeCell ref="N130:O130"/>
    <mergeCell ref="H67:I67"/>
    <mergeCell ref="H68:I68"/>
    <mergeCell ref="M30:M31"/>
    <mergeCell ref="P30:Q30"/>
    <mergeCell ref="B76:B78"/>
    <mergeCell ref="C76:C78"/>
    <mergeCell ref="D76:E76"/>
    <mergeCell ref="D77:E77"/>
    <mergeCell ref="H113:I113"/>
    <mergeCell ref="J113:K113"/>
    <mergeCell ref="L113:M113"/>
    <mergeCell ref="D67:E67"/>
    <mergeCell ref="D68:E68"/>
    <mergeCell ref="O37:O38"/>
    <mergeCell ref="F47:H47"/>
    <mergeCell ref="B53:B55"/>
    <mergeCell ref="C53:C55"/>
    <mergeCell ref="D53:E53"/>
    <mergeCell ref="D54:E54"/>
    <mergeCell ref="L54:L55"/>
    <mergeCell ref="F54:G54"/>
    <mergeCell ref="D113:E113"/>
    <mergeCell ref="B101:B103"/>
    <mergeCell ref="H54:I54"/>
    <mergeCell ref="N30:N31"/>
    <mergeCell ref="X133:Y133"/>
    <mergeCell ref="X134:Y134"/>
    <mergeCell ref="B66:G66"/>
    <mergeCell ref="F67:G67"/>
    <mergeCell ref="F77:G77"/>
    <mergeCell ref="B75:G75"/>
    <mergeCell ref="F76:G76"/>
    <mergeCell ref="F89:G89"/>
    <mergeCell ref="B87:G87"/>
    <mergeCell ref="F88:G88"/>
    <mergeCell ref="G102:I102"/>
    <mergeCell ref="B100:I100"/>
    <mergeCell ref="V133:W133"/>
    <mergeCell ref="V134:W134"/>
    <mergeCell ref="T134:U134"/>
    <mergeCell ref="N134:O134"/>
    <mergeCell ref="J133:K133"/>
    <mergeCell ref="P133:Q133"/>
    <mergeCell ref="R133:S133"/>
    <mergeCell ref="V113:W113"/>
    <mergeCell ref="F130:G130"/>
    <mergeCell ref="J89:K89"/>
    <mergeCell ref="N131:O131"/>
  </mergeCells>
  <pageMargins left="0.7" right="0.7" top="0.75" bottom="0.75" header="0.3" footer="0.3"/>
  <pageSetup scale="4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B3:K41"/>
  <sheetViews>
    <sheetView showGridLines="0" view="pageBreakPreview" topLeftCell="A23" zoomScale="90" zoomScaleNormal="100" zoomScaleSheetLayoutView="90" workbookViewId="0">
      <selection activeCell="K41" sqref="K41"/>
    </sheetView>
  </sheetViews>
  <sheetFormatPr defaultColWidth="9.33203125" defaultRowHeight="13.8" x14ac:dyDescent="0.3"/>
  <cols>
    <col min="1" max="1" width="3" style="1" customWidth="1"/>
    <col min="2" max="2" width="5.6640625" style="19" bestFit="1" customWidth="1"/>
    <col min="3" max="3" width="33.33203125" style="1" bestFit="1" customWidth="1"/>
    <col min="4" max="4" width="12.5546875" style="1" customWidth="1"/>
    <col min="5" max="5" width="13.33203125" style="1" customWidth="1"/>
    <col min="6" max="8" width="9.33203125" style="1"/>
    <col min="9" max="9" width="11" style="1" bestFit="1" customWidth="1"/>
    <col min="10" max="10" width="9.33203125" style="1"/>
    <col min="11" max="11" width="9.44140625" style="1" bestFit="1" customWidth="1"/>
    <col min="12" max="16384" width="9.33203125" style="1"/>
  </cols>
  <sheetData>
    <row r="3" spans="2:11" x14ac:dyDescent="0.3">
      <c r="E3" s="9" t="s">
        <v>101</v>
      </c>
    </row>
    <row r="4" spans="2:11" x14ac:dyDescent="0.3">
      <c r="B4" s="50" t="s">
        <v>247</v>
      </c>
      <c r="C4" s="50"/>
      <c r="D4" s="50"/>
      <c r="E4" s="50"/>
      <c r="F4" s="50"/>
      <c r="G4" s="50"/>
      <c r="H4" s="583"/>
      <c r="I4" s="583"/>
    </row>
    <row r="5" spans="2:11" x14ac:dyDescent="0.3">
      <c r="B5" s="583" t="s">
        <v>1</v>
      </c>
      <c r="C5" s="583" t="s">
        <v>2</v>
      </c>
      <c r="D5" s="583"/>
      <c r="E5" s="583"/>
      <c r="F5" s="583"/>
      <c r="G5" s="583"/>
      <c r="H5" s="583"/>
      <c r="I5" s="583"/>
    </row>
    <row r="6" spans="2:11" x14ac:dyDescent="0.3">
      <c r="B6" s="583"/>
      <c r="C6" s="583"/>
      <c r="D6" s="583" t="s">
        <v>26</v>
      </c>
      <c r="E6" s="583"/>
      <c r="F6" s="583" t="s">
        <v>27</v>
      </c>
      <c r="G6" s="583"/>
      <c r="H6" s="583" t="s">
        <v>28</v>
      </c>
      <c r="I6" s="583"/>
      <c r="J6" s="583" t="s">
        <v>29</v>
      </c>
      <c r="K6" s="583"/>
    </row>
    <row r="7" spans="2:11" ht="69.599999999999994" thickBot="1" x14ac:dyDescent="0.35">
      <c r="B7" s="590"/>
      <c r="C7" s="590"/>
      <c r="D7" s="7" t="s">
        <v>34</v>
      </c>
      <c r="E7" s="7" t="s">
        <v>35</v>
      </c>
      <c r="F7" s="7" t="s">
        <v>34</v>
      </c>
      <c r="G7" s="7" t="s">
        <v>35</v>
      </c>
      <c r="H7" s="7" t="s">
        <v>34</v>
      </c>
      <c r="I7" s="7" t="s">
        <v>35</v>
      </c>
      <c r="J7" s="7" t="s">
        <v>135</v>
      </c>
      <c r="K7" s="7" t="s">
        <v>35</v>
      </c>
    </row>
    <row r="8" spans="2:11" ht="14.4" thickBot="1" x14ac:dyDescent="0.35"/>
    <row r="9" spans="2:11" ht="14.4" thickBot="1" x14ac:dyDescent="0.35">
      <c r="B9" s="14">
        <v>1</v>
      </c>
      <c r="C9" s="18" t="s">
        <v>248</v>
      </c>
      <c r="D9" s="16"/>
      <c r="E9" s="17">
        <f>'[22]31 Revenue'!$F$9/10^7</f>
        <v>963.48</v>
      </c>
      <c r="F9" s="17">
        <v>1026.6199999999999</v>
      </c>
      <c r="G9" s="17">
        <f>'[23]Segment Note'!$B$12/10^7</f>
        <v>816.83999987100003</v>
      </c>
      <c r="H9" s="16"/>
      <c r="I9" s="16">
        <f>SUM('[24]31 Revenue'!$F$10,'[24]31 Revenue'!$F$11,'[24]31 Revenue'!$F$14,'[24]31 Revenue'!$F$15)/10^7</f>
        <v>927.24000006800065</v>
      </c>
      <c r="K9" s="1">
        <f>SUM('[25]31 Revenue'!$F$10:$F$15)/10^2</f>
        <v>967.63840992799999</v>
      </c>
    </row>
    <row r="10" spans="2:11" x14ac:dyDescent="0.3">
      <c r="B10" s="22" t="s">
        <v>249</v>
      </c>
      <c r="C10" s="23" t="s">
        <v>250</v>
      </c>
      <c r="D10" s="42"/>
      <c r="E10" s="42"/>
    </row>
    <row r="11" spans="2:11" x14ac:dyDescent="0.3">
      <c r="B11" s="22" t="s">
        <v>251</v>
      </c>
      <c r="C11" s="23" t="s">
        <v>252</v>
      </c>
      <c r="D11" s="42"/>
      <c r="E11" s="42"/>
    </row>
    <row r="14" spans="2:11" x14ac:dyDescent="0.3">
      <c r="E14" s="9" t="s">
        <v>101</v>
      </c>
    </row>
    <row r="15" spans="2:11" x14ac:dyDescent="0.3">
      <c r="B15" s="583" t="s">
        <v>253</v>
      </c>
      <c r="C15" s="583"/>
      <c r="D15" s="583"/>
      <c r="E15" s="583"/>
      <c r="F15" s="583"/>
      <c r="G15" s="583"/>
    </row>
    <row r="16" spans="2:11" x14ac:dyDescent="0.3">
      <c r="B16" s="583" t="s">
        <v>1</v>
      </c>
      <c r="C16" s="583" t="s">
        <v>2</v>
      </c>
      <c r="D16" s="583"/>
      <c r="E16" s="583"/>
      <c r="F16" s="583"/>
      <c r="G16" s="583"/>
    </row>
    <row r="17" spans="2:11" x14ac:dyDescent="0.3">
      <c r="B17" s="583"/>
      <c r="C17" s="583"/>
      <c r="D17" s="583" t="s">
        <v>26</v>
      </c>
      <c r="E17" s="583"/>
      <c r="F17" s="583" t="s">
        <v>27</v>
      </c>
      <c r="G17" s="583"/>
      <c r="H17" s="583" t="s">
        <v>28</v>
      </c>
      <c r="I17" s="583"/>
      <c r="J17" s="583" t="s">
        <v>29</v>
      </c>
      <c r="K17" s="583"/>
    </row>
    <row r="18" spans="2:11" ht="69.599999999999994" thickBot="1" x14ac:dyDescent="0.35">
      <c r="B18" s="590"/>
      <c r="C18" s="590"/>
      <c r="D18" s="7" t="s">
        <v>34</v>
      </c>
      <c r="E18" s="7" t="s">
        <v>35</v>
      </c>
      <c r="F18" s="7" t="s">
        <v>34</v>
      </c>
      <c r="G18" s="7" t="s">
        <v>35</v>
      </c>
      <c r="H18" s="7" t="s">
        <v>34</v>
      </c>
      <c r="I18" s="7" t="s">
        <v>35</v>
      </c>
      <c r="J18" s="7" t="s">
        <v>34</v>
      </c>
      <c r="K18" s="7" t="s">
        <v>35</v>
      </c>
    </row>
    <row r="20" spans="2:11" x14ac:dyDescent="0.3">
      <c r="B20" s="19">
        <v>1</v>
      </c>
      <c r="C20" s="1" t="s">
        <v>254</v>
      </c>
      <c r="D20" s="10">
        <f>D21+D22</f>
        <v>0</v>
      </c>
      <c r="E20" s="10">
        <f>E21+E22</f>
        <v>0</v>
      </c>
    </row>
    <row r="21" spans="2:11" x14ac:dyDescent="0.3">
      <c r="B21" s="22" t="s">
        <v>249</v>
      </c>
      <c r="C21" s="43" t="s">
        <v>255</v>
      </c>
      <c r="D21" s="10"/>
      <c r="E21" s="69"/>
    </row>
    <row r="22" spans="2:11" x14ac:dyDescent="0.3">
      <c r="B22" s="22"/>
      <c r="C22" s="43"/>
      <c r="D22" s="10"/>
      <c r="E22" s="69"/>
    </row>
    <row r="23" spans="2:11" x14ac:dyDescent="0.3">
      <c r="D23" s="10"/>
      <c r="E23" s="10"/>
    </row>
    <row r="24" spans="2:11" x14ac:dyDescent="0.3">
      <c r="B24" s="19">
        <v>2</v>
      </c>
      <c r="C24" s="1" t="s">
        <v>256</v>
      </c>
      <c r="D24" s="10">
        <f>D25+D26</f>
        <v>0</v>
      </c>
      <c r="E24" s="10">
        <f>E25+E26</f>
        <v>0</v>
      </c>
    </row>
    <row r="25" spans="2:11" x14ac:dyDescent="0.3">
      <c r="B25" s="22" t="s">
        <v>249</v>
      </c>
      <c r="C25" s="23" t="s">
        <v>257</v>
      </c>
      <c r="D25" s="10"/>
      <c r="E25" s="267"/>
    </row>
    <row r="26" spans="2:11" x14ac:dyDescent="0.3">
      <c r="B26" s="22" t="s">
        <v>251</v>
      </c>
      <c r="C26" s="23" t="s">
        <v>258</v>
      </c>
      <c r="D26" s="10"/>
      <c r="E26" s="69"/>
    </row>
    <row r="27" spans="2:11" x14ac:dyDescent="0.3">
      <c r="D27" s="10"/>
      <c r="E27" s="10"/>
    </row>
    <row r="28" spans="2:11" x14ac:dyDescent="0.3">
      <c r="B28" s="19">
        <v>3</v>
      </c>
      <c r="C28" s="1" t="s">
        <v>259</v>
      </c>
      <c r="D28" s="10">
        <f>D20+D24</f>
        <v>0</v>
      </c>
      <c r="E28" s="10">
        <f>E24-E20</f>
        <v>0</v>
      </c>
    </row>
    <row r="29" spans="2:11" x14ac:dyDescent="0.3">
      <c r="D29" s="10"/>
      <c r="E29" s="10"/>
    </row>
    <row r="30" spans="2:11" x14ac:dyDescent="0.3">
      <c r="B30" s="19">
        <v>4</v>
      </c>
      <c r="C30" s="1" t="s">
        <v>260</v>
      </c>
      <c r="D30" s="10"/>
      <c r="E30" s="10"/>
    </row>
    <row r="31" spans="2:11" ht="14.4" thickBot="1" x14ac:dyDescent="0.35">
      <c r="D31" s="10"/>
      <c r="E31" s="10"/>
    </row>
    <row r="32" spans="2:11" ht="14.4" thickBot="1" x14ac:dyDescent="0.35">
      <c r="B32" s="14">
        <v>5</v>
      </c>
      <c r="C32" s="18" t="s">
        <v>261</v>
      </c>
      <c r="D32" s="30">
        <f>D28-D30</f>
        <v>0</v>
      </c>
      <c r="E32" s="17">
        <f>E28-E30</f>
        <v>0</v>
      </c>
      <c r="F32" s="17">
        <f t="shared" ref="F32:G32" si="0">F28-F30</f>
        <v>0</v>
      </c>
      <c r="G32" s="17">
        <f t="shared" si="0"/>
        <v>0</v>
      </c>
    </row>
    <row r="35" spans="2:11" x14ac:dyDescent="0.3">
      <c r="K35" s="9" t="s">
        <v>101</v>
      </c>
    </row>
    <row r="36" spans="2:11" x14ac:dyDescent="0.3">
      <c r="B36" s="583" t="s">
        <v>262</v>
      </c>
      <c r="C36" s="583"/>
      <c r="D36" s="583"/>
      <c r="E36" s="583"/>
      <c r="F36" s="583"/>
      <c r="G36" s="583"/>
      <c r="H36" s="516"/>
      <c r="I36" s="516"/>
      <c r="J36" s="516"/>
      <c r="K36" s="516"/>
    </row>
    <row r="37" spans="2:11" x14ac:dyDescent="0.3">
      <c r="B37" s="583" t="s">
        <v>1</v>
      </c>
      <c r="C37" s="583" t="s">
        <v>2</v>
      </c>
      <c r="D37" s="583"/>
      <c r="E37" s="583"/>
      <c r="F37" s="583"/>
      <c r="G37" s="583"/>
      <c r="H37" s="516"/>
      <c r="I37" s="516"/>
      <c r="J37" s="516"/>
      <c r="K37" s="516"/>
    </row>
    <row r="38" spans="2:11" x14ac:dyDescent="0.3">
      <c r="B38" s="583"/>
      <c r="C38" s="583"/>
      <c r="D38" s="583" t="s">
        <v>26</v>
      </c>
      <c r="E38" s="583"/>
      <c r="F38" s="583" t="s">
        <v>27</v>
      </c>
      <c r="G38" s="583"/>
      <c r="H38" s="583" t="s">
        <v>28</v>
      </c>
      <c r="I38" s="583"/>
      <c r="J38" s="583" t="s">
        <v>29</v>
      </c>
      <c r="K38" s="583"/>
    </row>
    <row r="39" spans="2:11" ht="69.599999999999994" thickBot="1" x14ac:dyDescent="0.35">
      <c r="B39" s="590"/>
      <c r="C39" s="590"/>
      <c r="D39" s="7" t="s">
        <v>34</v>
      </c>
      <c r="E39" s="7" t="s">
        <v>35</v>
      </c>
      <c r="F39" s="7" t="s">
        <v>34</v>
      </c>
      <c r="G39" s="7" t="s">
        <v>35</v>
      </c>
      <c r="H39" s="7" t="s">
        <v>34</v>
      </c>
      <c r="I39" s="7" t="s">
        <v>35</v>
      </c>
      <c r="J39" s="7" t="s">
        <v>135</v>
      </c>
      <c r="K39" s="7" t="s">
        <v>35</v>
      </c>
    </row>
    <row r="40" spans="2:11" ht="14.4" thickBot="1" x14ac:dyDescent="0.35"/>
    <row r="41" spans="2:11" ht="14.4" thickBot="1" x14ac:dyDescent="0.35">
      <c r="B41" s="14">
        <v>1</v>
      </c>
      <c r="C41" s="18" t="s">
        <v>263</v>
      </c>
      <c r="D41" s="16">
        <v>22.35</v>
      </c>
      <c r="E41" s="16">
        <f>'[22]Segment Note'!$B$14/10^7</f>
        <v>24.184789074901925</v>
      </c>
      <c r="F41" s="16">
        <v>22.35</v>
      </c>
      <c r="G41" s="16">
        <f>'[23]Segment Note'!$B$14/10^7</f>
        <v>13.501126206999999</v>
      </c>
      <c r="H41" s="1">
        <v>22.35</v>
      </c>
      <c r="I41" s="1">
        <f>('[24]Segment Note'!$B$14-'[24]32. Other income'!$F$24)/10^7</f>
        <v>71.653440428999943</v>
      </c>
      <c r="J41" s="1">
        <v>13.5</v>
      </c>
      <c r="K41" s="203">
        <f>('[25]Segment Note'!$B$14/10^2)-('[25]32. Other income'!$F$24)/10^2</f>
        <v>16.849283533999998</v>
      </c>
    </row>
  </sheetData>
  <mergeCells count="28">
    <mergeCell ref="F38:G38"/>
    <mergeCell ref="F6:G6"/>
    <mergeCell ref="F5:G5"/>
    <mergeCell ref="B15:G15"/>
    <mergeCell ref="F16:G16"/>
    <mergeCell ref="B37:B39"/>
    <mergeCell ref="C37:C39"/>
    <mergeCell ref="D37:E37"/>
    <mergeCell ref="D38:E38"/>
    <mergeCell ref="B5:B7"/>
    <mergeCell ref="C5:C7"/>
    <mergeCell ref="D5:E5"/>
    <mergeCell ref="D6:E6"/>
    <mergeCell ref="B16:B18"/>
    <mergeCell ref="C16:C18"/>
    <mergeCell ref="D16:E16"/>
    <mergeCell ref="H5:I5"/>
    <mergeCell ref="H4:I4"/>
    <mergeCell ref="F17:G17"/>
    <mergeCell ref="B36:G36"/>
    <mergeCell ref="F37:G37"/>
    <mergeCell ref="D17:E17"/>
    <mergeCell ref="J6:K6"/>
    <mergeCell ref="H17:I17"/>
    <mergeCell ref="J17:K17"/>
    <mergeCell ref="H6:I6"/>
    <mergeCell ref="H38:I38"/>
    <mergeCell ref="J38:K38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A126"/>
  <sheetViews>
    <sheetView showGridLines="0" zoomScale="63" zoomScaleNormal="63" zoomScaleSheetLayoutView="80" workbookViewId="0">
      <pane xSplit="3" ySplit="7" topLeftCell="D10" activePane="bottomRight" state="frozen"/>
      <selection pane="topRight" activeCell="D1" sqref="D1"/>
      <selection pane="bottomLeft" activeCell="A8" sqref="A8"/>
      <selection pane="bottomRight" activeCell="S25" sqref="S25"/>
    </sheetView>
  </sheetViews>
  <sheetFormatPr defaultColWidth="9.33203125" defaultRowHeight="13.8" x14ac:dyDescent="0.3"/>
  <cols>
    <col min="1" max="1" width="2.33203125" style="1" customWidth="1"/>
    <col min="2" max="2" width="5.6640625" style="1" bestFit="1" customWidth="1"/>
    <col min="3" max="3" width="52.44140625" style="1" customWidth="1"/>
    <col min="4" max="4" width="12.33203125" style="1" customWidth="1"/>
    <col min="5" max="7" width="13.6640625" style="1" customWidth="1"/>
    <col min="8" max="13" width="12.6640625" style="1" customWidth="1"/>
    <col min="14" max="14" width="16.33203125" style="1" customWidth="1"/>
    <col min="15" max="17" width="13.6640625" style="1" customWidth="1"/>
    <col min="18" max="18" width="10.6640625" style="1" customWidth="1"/>
    <col min="19" max="19" width="29.6640625" style="1" customWidth="1"/>
    <col min="20" max="20" width="21.5546875" style="1" customWidth="1"/>
    <col min="21" max="21" width="16.33203125" style="1" bestFit="1" customWidth="1"/>
    <col min="22" max="23" width="17.33203125" style="1" customWidth="1"/>
    <col min="24" max="26" width="9.33203125" style="1"/>
    <col min="27" max="27" width="11.33203125" style="1" bestFit="1" customWidth="1"/>
    <col min="28" max="16384" width="9.33203125" style="1"/>
  </cols>
  <sheetData>
    <row r="1" spans="2:27" x14ac:dyDescent="0.3">
      <c r="I1" s="8"/>
    </row>
    <row r="2" spans="2:27" x14ac:dyDescent="0.3">
      <c r="I2" s="8"/>
    </row>
    <row r="3" spans="2:27" x14ac:dyDescent="0.3">
      <c r="B3" s="6"/>
      <c r="I3" s="8" t="s">
        <v>20</v>
      </c>
    </row>
    <row r="4" spans="2:27" x14ac:dyDescent="0.3">
      <c r="B4" s="582" t="s">
        <v>264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186"/>
      <c r="P4" s="186"/>
      <c r="Q4" s="186"/>
    </row>
    <row r="5" spans="2:27" ht="30" customHeight="1" x14ac:dyDescent="0.3">
      <c r="B5" s="583" t="s">
        <v>1</v>
      </c>
      <c r="C5" s="583" t="s">
        <v>2</v>
      </c>
      <c r="D5" s="174"/>
      <c r="E5" s="50"/>
      <c r="F5" s="50"/>
      <c r="G5" s="50"/>
      <c r="H5" s="583"/>
      <c r="I5" s="583"/>
      <c r="J5" s="583"/>
      <c r="K5" s="583"/>
      <c r="L5" s="583"/>
      <c r="M5" s="583"/>
      <c r="N5" s="583"/>
      <c r="O5" s="186"/>
      <c r="P5" s="186"/>
      <c r="Q5" s="186"/>
    </row>
    <row r="6" spans="2:27" ht="30" customHeight="1" x14ac:dyDescent="0.3">
      <c r="B6" s="583"/>
      <c r="C6" s="583"/>
      <c r="D6" s="174" t="s">
        <v>22</v>
      </c>
      <c r="E6" s="174" t="s">
        <v>23</v>
      </c>
      <c r="F6" s="174" t="s">
        <v>24</v>
      </c>
      <c r="G6" s="174" t="s">
        <v>25</v>
      </c>
      <c r="H6" s="583" t="s">
        <v>26</v>
      </c>
      <c r="I6" s="583"/>
      <c r="J6" s="583" t="s">
        <v>27</v>
      </c>
      <c r="K6" s="583"/>
      <c r="L6" s="583" t="s">
        <v>28</v>
      </c>
      <c r="M6" s="583"/>
      <c r="N6" s="583" t="s">
        <v>29</v>
      </c>
      <c r="O6" s="583"/>
      <c r="P6" s="186"/>
      <c r="Q6" s="186"/>
    </row>
    <row r="7" spans="2:27" ht="88.95" customHeight="1" thickBot="1" x14ac:dyDescent="0.35">
      <c r="B7" s="590"/>
      <c r="C7" s="590"/>
      <c r="D7" s="7" t="s">
        <v>30</v>
      </c>
      <c r="E7" s="7" t="s">
        <v>31</v>
      </c>
      <c r="F7" s="7" t="s">
        <v>32</v>
      </c>
      <c r="G7" s="7" t="s">
        <v>265</v>
      </c>
      <c r="H7" s="7" t="s">
        <v>34</v>
      </c>
      <c r="I7" s="7" t="s">
        <v>35</v>
      </c>
      <c r="J7" s="7" t="s">
        <v>34</v>
      </c>
      <c r="K7" s="7" t="s">
        <v>35</v>
      </c>
      <c r="L7" s="7" t="s">
        <v>34</v>
      </c>
      <c r="M7" s="7" t="s">
        <v>35</v>
      </c>
      <c r="N7" s="7" t="s">
        <v>135</v>
      </c>
      <c r="O7" s="7" t="s">
        <v>35</v>
      </c>
      <c r="P7" s="7"/>
      <c r="Q7" s="7"/>
    </row>
    <row r="8" spans="2:27" ht="14.4" thickBot="1" x14ac:dyDescent="0.35"/>
    <row r="9" spans="2:27" ht="14.4" thickBot="1" x14ac:dyDescent="0.35">
      <c r="B9" s="607" t="s">
        <v>266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16"/>
      <c r="P9" s="16"/>
    </row>
    <row r="10" spans="2:27" x14ac:dyDescent="0.3">
      <c r="I10" s="172"/>
    </row>
    <row r="11" spans="2:27" x14ac:dyDescent="0.3">
      <c r="B11" s="19">
        <v>1</v>
      </c>
      <c r="C11" s="1" t="s">
        <v>267</v>
      </c>
      <c r="D11" s="1">
        <v>3005.31</v>
      </c>
      <c r="E11" s="21">
        <v>3348.88</v>
      </c>
      <c r="F11" s="21">
        <f>E17</f>
        <v>3655.02</v>
      </c>
      <c r="G11" s="284">
        <f>[21]F5!H11</f>
        <v>3863.64</v>
      </c>
      <c r="H11" s="10">
        <v>4669.3900000000003</v>
      </c>
      <c r="I11" s="10">
        <f>G17</f>
        <v>4131.7862290340008</v>
      </c>
      <c r="J11" s="10">
        <v>4950.87</v>
      </c>
      <c r="K11" s="10">
        <f>I17</f>
        <v>4699.6880671877307</v>
      </c>
      <c r="L11" s="10">
        <v>5028.47</v>
      </c>
      <c r="M11" s="314">
        <f>K17</f>
        <v>5096.4480671877309</v>
      </c>
      <c r="N11" s="10">
        <v>5258.68</v>
      </c>
      <c r="O11" s="10">
        <f>M17</f>
        <v>5435.8814643877295</v>
      </c>
      <c r="P11" s="10"/>
      <c r="Q11" s="10"/>
      <c r="V11" s="547"/>
      <c r="W11" s="547"/>
      <c r="Y11" s="172"/>
      <c r="AA11" s="545"/>
    </row>
    <row r="12" spans="2:27" x14ac:dyDescent="0.3">
      <c r="B12" s="19">
        <v>2</v>
      </c>
      <c r="C12" s="1" t="s">
        <v>268</v>
      </c>
      <c r="D12" s="1">
        <v>566.25</v>
      </c>
      <c r="E12" s="21">
        <v>564.63</v>
      </c>
      <c r="F12" s="21">
        <f>E18</f>
        <v>564.47</v>
      </c>
      <c r="G12" s="284">
        <f>[21]F5!H12</f>
        <v>747.90279571099995</v>
      </c>
      <c r="H12" s="10"/>
      <c r="I12" s="10">
        <f>G18</f>
        <v>616.62226239200004</v>
      </c>
      <c r="J12" s="10"/>
      <c r="K12" s="10">
        <f>I18</f>
        <v>653.42658017071892</v>
      </c>
      <c r="L12" s="10"/>
      <c r="M12" s="10">
        <f>K18</f>
        <v>524.4107037696524</v>
      </c>
      <c r="N12" s="10"/>
      <c r="O12" s="10">
        <f>M18</f>
        <v>494.92556970794936</v>
      </c>
      <c r="P12" s="10"/>
      <c r="Q12" s="10"/>
      <c r="S12" s="172">
        <f>[25]PPE!$Q$31/10^2</f>
        <v>134.91279818899878</v>
      </c>
      <c r="V12" s="547"/>
      <c r="W12" s="547"/>
      <c r="AA12" s="545"/>
    </row>
    <row r="13" spans="2:27" ht="14.4" thickBot="1" x14ac:dyDescent="0.35">
      <c r="B13" s="19">
        <v>3</v>
      </c>
      <c r="C13" s="1" t="s">
        <v>269</v>
      </c>
      <c r="D13" s="1">
        <v>3571.56</v>
      </c>
      <c r="E13" s="21">
        <v>3913.51</v>
      </c>
      <c r="F13" s="10">
        <f>F11+F12</f>
        <v>4219.49</v>
      </c>
      <c r="G13" s="284">
        <f>[21]F5!H13</f>
        <v>4611.5427957109996</v>
      </c>
      <c r="H13" s="10"/>
      <c r="I13" s="10">
        <f>I11+I12</f>
        <v>4748.4084914260011</v>
      </c>
      <c r="J13" s="10"/>
      <c r="K13" s="10">
        <f>K11+K12</f>
        <v>5353.1146473584495</v>
      </c>
      <c r="L13" s="10"/>
      <c r="M13" s="10">
        <f>M11+M12</f>
        <v>5620.8587709573831</v>
      </c>
      <c r="N13" s="10"/>
      <c r="O13" s="10">
        <f>O11+O12</f>
        <v>5930.8070340956792</v>
      </c>
      <c r="P13" s="10"/>
      <c r="Q13" s="10"/>
      <c r="S13" s="172">
        <f>[37]Sheet1!$F$9</f>
        <v>8.7505429999999995E-2</v>
      </c>
      <c r="W13" s="172"/>
    </row>
    <row r="14" spans="2:27" ht="14.4" thickBot="1" x14ac:dyDescent="0.35">
      <c r="B14" s="44">
        <v>4</v>
      </c>
      <c r="C14" s="45" t="s">
        <v>270</v>
      </c>
      <c r="D14" s="45">
        <v>343.57</v>
      </c>
      <c r="E14" s="65">
        <v>306.14</v>
      </c>
      <c r="F14" s="65">
        <v>208.62</v>
      </c>
      <c r="G14" s="65">
        <f>[21]F5!H14</f>
        <v>268.14622903400101</v>
      </c>
      <c r="H14" s="65">
        <v>281.48</v>
      </c>
      <c r="I14" s="65">
        <f>'F6'!I50</f>
        <v>567.90183815372984</v>
      </c>
      <c r="J14" s="16">
        <v>77.61</v>
      </c>
      <c r="K14" s="16">
        <f>396.76</f>
        <v>396.76</v>
      </c>
      <c r="L14" s="16">
        <v>62.35</v>
      </c>
      <c r="M14" s="16">
        <f>'F6'!I104</f>
        <v>339.43339719999858</v>
      </c>
      <c r="N14" s="16">
        <v>151.5</v>
      </c>
      <c r="O14" s="16">
        <f>'F6'!O10</f>
        <v>134.82529275899878</v>
      </c>
      <c r="P14" s="203"/>
      <c r="Q14" s="203"/>
      <c r="R14" s="172"/>
      <c r="S14" s="172">
        <f>S12-S13</f>
        <v>134.82529275899878</v>
      </c>
      <c r="AA14" s="172"/>
    </row>
    <row r="15" spans="2:27" ht="13.5" customHeight="1" x14ac:dyDescent="0.3">
      <c r="B15" s="19">
        <v>5</v>
      </c>
      <c r="C15" s="29" t="s">
        <v>271</v>
      </c>
      <c r="D15" s="68">
        <v>0.2</v>
      </c>
      <c r="E15" s="68">
        <v>0.2</v>
      </c>
      <c r="F15" s="12">
        <v>0.3</v>
      </c>
      <c r="G15" s="12">
        <f>[21]F5!H15</f>
        <v>0.3</v>
      </c>
      <c r="H15" s="12">
        <v>0.3</v>
      </c>
      <c r="I15" s="12">
        <v>0.3</v>
      </c>
      <c r="J15" s="313">
        <v>0.3</v>
      </c>
      <c r="K15" s="12">
        <v>0.3</v>
      </c>
      <c r="L15" s="12">
        <v>0.3</v>
      </c>
      <c r="M15" s="12">
        <v>0.3</v>
      </c>
      <c r="N15" s="46"/>
      <c r="O15" s="468">
        <v>0.3</v>
      </c>
      <c r="P15" s="46"/>
      <c r="Q15" s="468"/>
      <c r="R15" s="172"/>
      <c r="S15" s="555" t="b">
        <f>IF(S14=O14,TRUE,FALSE)</f>
        <v>1</v>
      </c>
    </row>
    <row r="16" spans="2:27" x14ac:dyDescent="0.3">
      <c r="B16" s="19">
        <v>6</v>
      </c>
      <c r="C16" s="29" t="s">
        <v>272</v>
      </c>
      <c r="D16" s="47">
        <f>D19-D13</f>
        <v>341.95000000000027</v>
      </c>
      <c r="E16" s="47">
        <f>E19-E13</f>
        <v>305.97999999999956</v>
      </c>
      <c r="F16" s="47">
        <f>F19-F13</f>
        <v>392.05279571099982</v>
      </c>
      <c r="G16" s="284">
        <f>[21]F5!H16</f>
        <v>136.86569571500149</v>
      </c>
      <c r="H16" s="47"/>
      <c r="I16" s="47">
        <f>I19-I13</f>
        <v>604.70615593244838</v>
      </c>
      <c r="J16" s="47"/>
      <c r="K16" s="47">
        <f>K19-K13</f>
        <v>267.74412359893358</v>
      </c>
      <c r="L16" s="47"/>
      <c r="M16" s="47">
        <f>M19-M13</f>
        <v>309.94826313829617</v>
      </c>
      <c r="N16" s="47"/>
      <c r="O16" s="47">
        <f>O19-O13</f>
        <v>229.11174439899878</v>
      </c>
      <c r="P16" s="203"/>
      <c r="Q16" s="203"/>
      <c r="R16" s="172"/>
    </row>
    <row r="17" spans="2:22" x14ac:dyDescent="0.3">
      <c r="B17" s="19">
        <v>7</v>
      </c>
      <c r="C17" s="1" t="s">
        <v>273</v>
      </c>
      <c r="D17" s="10">
        <f>D11+D14</f>
        <v>3348.88</v>
      </c>
      <c r="E17" s="10">
        <f>E11+E14</f>
        <v>3655.02</v>
      </c>
      <c r="F17" s="10">
        <f>F14+F11</f>
        <v>3863.64</v>
      </c>
      <c r="G17" s="284">
        <f>[21]F5!H17</f>
        <v>4131.7862290340008</v>
      </c>
      <c r="H17" s="10">
        <f>H11+H14</f>
        <v>4950.8700000000008</v>
      </c>
      <c r="I17" s="10">
        <f t="shared" ref="I17:O17" si="0">I11+I14</f>
        <v>4699.6880671877307</v>
      </c>
      <c r="J17" s="10">
        <v>5028.47</v>
      </c>
      <c r="K17" s="10">
        <f t="shared" si="0"/>
        <v>5096.4480671877309</v>
      </c>
      <c r="L17" s="10">
        <f t="shared" si="0"/>
        <v>5090.8200000000006</v>
      </c>
      <c r="M17" s="10">
        <f t="shared" si="0"/>
        <v>5435.8814643877295</v>
      </c>
      <c r="N17" s="10">
        <f t="shared" si="0"/>
        <v>5410.18</v>
      </c>
      <c r="O17" s="10">
        <f t="shared" si="0"/>
        <v>5570.7067571467287</v>
      </c>
      <c r="P17" s="10"/>
      <c r="Q17" s="10">
        <f>O17-O11</f>
        <v>134.82529275899924</v>
      </c>
      <c r="R17" s="172">
        <f>(O34+O49)</f>
        <v>134.82529275899924</v>
      </c>
    </row>
    <row r="18" spans="2:22" x14ac:dyDescent="0.3">
      <c r="B18" s="19">
        <v>8</v>
      </c>
      <c r="C18" s="1" t="s">
        <v>274</v>
      </c>
      <c r="D18" s="1">
        <v>564.63</v>
      </c>
      <c r="E18" s="10">
        <v>564.47</v>
      </c>
      <c r="F18" s="10">
        <v>747.90279571099995</v>
      </c>
      <c r="G18" s="284">
        <f>[21]F5!H18</f>
        <v>616.62226239200004</v>
      </c>
      <c r="H18" s="10"/>
      <c r="I18" s="10">
        <f>[22]BS!$I$10/10^7</f>
        <v>653.42658017071892</v>
      </c>
      <c r="J18" s="10"/>
      <c r="K18" s="10">
        <f>[23]PPE!$D$32/10^7</f>
        <v>524.4107037696524</v>
      </c>
      <c r="L18" s="10"/>
      <c r="M18" s="10">
        <f>[24]PPE!$D$41/10^7</f>
        <v>494.92556970794936</v>
      </c>
      <c r="N18" s="10"/>
      <c r="O18" s="10">
        <f>[25]CWIP!$B$8/10^2</f>
        <v>589.21202134794919</v>
      </c>
      <c r="P18" s="10"/>
      <c r="Q18" s="10"/>
      <c r="R18" s="1" t="b">
        <f>IF(Q17=R17,TRUE,FALSE)</f>
        <v>1</v>
      </c>
    </row>
    <row r="19" spans="2:22" ht="14.4" thickBot="1" x14ac:dyDescent="0.35">
      <c r="B19" s="19">
        <v>9</v>
      </c>
      <c r="C19" s="1" t="s">
        <v>275</v>
      </c>
      <c r="D19" s="10">
        <f>D17+D18</f>
        <v>3913.51</v>
      </c>
      <c r="E19" s="10">
        <f>E17+E18</f>
        <v>4219.49</v>
      </c>
      <c r="F19" s="10">
        <f>F17+F18</f>
        <v>4611.5427957109996</v>
      </c>
      <c r="G19" s="284">
        <f>[21]F5!H19</f>
        <v>4748.4084914260011</v>
      </c>
      <c r="H19" s="10"/>
      <c r="I19" s="10">
        <f>I17+I18</f>
        <v>5353.1146473584495</v>
      </c>
      <c r="J19" s="10"/>
      <c r="K19" s="10">
        <f>K17+K18</f>
        <v>5620.8587709573831</v>
      </c>
      <c r="L19" s="10"/>
      <c r="M19" s="10">
        <f>M17+M18</f>
        <v>5930.8070340956792</v>
      </c>
      <c r="N19" s="10"/>
      <c r="O19" s="10">
        <f>O17+O18</f>
        <v>6159.918778494678</v>
      </c>
      <c r="P19" s="10"/>
      <c r="Q19" s="10"/>
    </row>
    <row r="20" spans="2:22" ht="14.4" thickBot="1" x14ac:dyDescent="0.35">
      <c r="I20" s="51"/>
      <c r="J20" s="51"/>
      <c r="O20" s="51"/>
      <c r="P20" s="16"/>
    </row>
    <row r="21" spans="2:22" ht="14.4" thickBot="1" x14ac:dyDescent="0.35">
      <c r="B21" s="607" t="s">
        <v>276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16"/>
      <c r="P21" s="16"/>
    </row>
    <row r="22" spans="2:22" ht="14.4" thickBot="1" x14ac:dyDescent="0.35">
      <c r="B22" s="19">
        <v>1</v>
      </c>
      <c r="C22" s="1" t="s">
        <v>277</v>
      </c>
      <c r="D22" s="1">
        <v>101.56</v>
      </c>
      <c r="E22" s="21">
        <v>101.56</v>
      </c>
      <c r="F22" s="21">
        <v>101.56</v>
      </c>
      <c r="G22" s="21">
        <f>[21]F5!H22</f>
        <v>101.56</v>
      </c>
      <c r="H22" s="10">
        <v>101.56</v>
      </c>
      <c r="I22" s="10">
        <f>G24</f>
        <v>101.56</v>
      </c>
      <c r="J22" s="314">
        <v>191.56</v>
      </c>
      <c r="K22" s="10">
        <f>I24</f>
        <v>101.56</v>
      </c>
      <c r="L22" s="10">
        <f>J24</f>
        <v>101.56</v>
      </c>
      <c r="M22" s="10">
        <f>K24</f>
        <v>109.54</v>
      </c>
      <c r="N22" s="10"/>
      <c r="O22" s="10">
        <f>M24</f>
        <v>109.54</v>
      </c>
      <c r="P22" s="10"/>
      <c r="Q22" s="10"/>
      <c r="S22" s="565">
        <f>30%*R17</f>
        <v>40.44758782769977</v>
      </c>
      <c r="T22" s="172">
        <f>70%*O14</f>
        <v>94.377704931299149</v>
      </c>
    </row>
    <row r="23" spans="2:22" ht="34.200000000000003" customHeight="1" thickBot="1" x14ac:dyDescent="0.35">
      <c r="B23" s="14">
        <v>2</v>
      </c>
      <c r="C23" s="31" t="s">
        <v>278</v>
      </c>
      <c r="D23" s="31"/>
      <c r="E23" s="66"/>
      <c r="F23" s="66"/>
      <c r="G23" s="66"/>
      <c r="H23" s="16"/>
      <c r="I23" s="16"/>
      <c r="J23" s="16"/>
      <c r="K23" s="16">
        <v>7.98</v>
      </c>
      <c r="L23" s="16"/>
      <c r="M23" s="16">
        <v>0</v>
      </c>
      <c r="N23" s="16">
        <v>0</v>
      </c>
      <c r="O23" s="16"/>
      <c r="P23" s="16"/>
      <c r="S23" s="1" t="b">
        <f>IF(O43=S22,TRUE,FALSE)</f>
        <v>0</v>
      </c>
      <c r="T23" s="1" t="b">
        <f>IF(T22=T25,TRUE,FALSE)</f>
        <v>0</v>
      </c>
    </row>
    <row r="24" spans="2:22" x14ac:dyDescent="0.3">
      <c r="B24" s="19">
        <v>3</v>
      </c>
      <c r="C24" s="1" t="s">
        <v>279</v>
      </c>
      <c r="D24" s="10">
        <f>D22+D23</f>
        <v>101.56</v>
      </c>
      <c r="E24" s="10">
        <f>E22+E23</f>
        <v>101.56</v>
      </c>
      <c r="F24" s="10">
        <f>F22+F23</f>
        <v>101.56</v>
      </c>
      <c r="G24" s="21">
        <f>[21]F5!H24</f>
        <v>101.56</v>
      </c>
      <c r="H24" s="10">
        <f>H22+H23</f>
        <v>101.56</v>
      </c>
      <c r="I24" s="10">
        <f t="shared" ref="I24:Q24" si="1">I22+I23</f>
        <v>101.56</v>
      </c>
      <c r="J24" s="10">
        <v>101.56</v>
      </c>
      <c r="K24" s="10">
        <f t="shared" si="1"/>
        <v>109.54</v>
      </c>
      <c r="L24" s="10">
        <f t="shared" si="1"/>
        <v>101.56</v>
      </c>
      <c r="M24" s="10">
        <f t="shared" si="1"/>
        <v>109.54</v>
      </c>
      <c r="N24" s="10">
        <f t="shared" si="1"/>
        <v>0</v>
      </c>
      <c r="O24" s="10">
        <f>O22+O23</f>
        <v>109.54</v>
      </c>
      <c r="P24" s="10">
        <f t="shared" si="1"/>
        <v>0</v>
      </c>
      <c r="Q24" s="10">
        <f t="shared" si="1"/>
        <v>0</v>
      </c>
    </row>
    <row r="25" spans="2:22" x14ac:dyDescent="0.3">
      <c r="B25" s="19">
        <v>1</v>
      </c>
      <c r="C25" s="1" t="s">
        <v>280</v>
      </c>
      <c r="D25" s="21">
        <v>46.06</v>
      </c>
      <c r="E25" s="21">
        <v>46.06</v>
      </c>
      <c r="F25" s="21">
        <v>46.06</v>
      </c>
      <c r="G25" s="21">
        <f>[21]F5!H25</f>
        <v>46.06</v>
      </c>
      <c r="H25" s="10">
        <v>46.06</v>
      </c>
      <c r="I25" s="10">
        <f>G26</f>
        <v>46.06</v>
      </c>
      <c r="J25" s="10">
        <v>46.06</v>
      </c>
      <c r="K25" s="10">
        <f>I26</f>
        <v>46.06</v>
      </c>
      <c r="L25" s="10">
        <f>J26</f>
        <v>46.06</v>
      </c>
      <c r="M25" s="10">
        <f>K26</f>
        <v>54.040000000000006</v>
      </c>
      <c r="N25" s="10"/>
      <c r="O25" s="10">
        <f>M25+M23</f>
        <v>54.040000000000006</v>
      </c>
      <c r="P25" s="10"/>
      <c r="Q25" s="10"/>
      <c r="S25" s="203">
        <v>40.447587827699863</v>
      </c>
      <c r="T25" s="203">
        <v>94.377704931298922</v>
      </c>
      <c r="U25" s="566">
        <f>S25+T25</f>
        <v>134.82529275899878</v>
      </c>
    </row>
    <row r="26" spans="2:22" x14ac:dyDescent="0.3">
      <c r="B26" s="19">
        <v>2</v>
      </c>
      <c r="C26" s="1" t="s">
        <v>281</v>
      </c>
      <c r="D26" s="21">
        <v>46.06</v>
      </c>
      <c r="E26" s="21">
        <v>46.06</v>
      </c>
      <c r="F26" s="21">
        <v>46.06</v>
      </c>
      <c r="G26" s="21">
        <f>[21]F5!H26</f>
        <v>46.06</v>
      </c>
      <c r="H26" s="10">
        <v>46.06</v>
      </c>
      <c r="I26" s="10">
        <f t="shared" ref="I26:L26" si="2">I25+I23</f>
        <v>46.06</v>
      </c>
      <c r="J26" s="10">
        <v>46.06</v>
      </c>
      <c r="K26" s="10">
        <f t="shared" si="2"/>
        <v>54.040000000000006</v>
      </c>
      <c r="L26" s="10">
        <f t="shared" si="2"/>
        <v>46.06</v>
      </c>
      <c r="M26" s="10">
        <f>M25</f>
        <v>54.040000000000006</v>
      </c>
      <c r="N26" s="10"/>
      <c r="O26" s="10">
        <f>O25</f>
        <v>54.040000000000006</v>
      </c>
      <c r="P26" s="10"/>
      <c r="Q26" s="10"/>
      <c r="U26" s="1" t="b">
        <f>IF(U25=O14,TRUE,FALSE)</f>
        <v>1</v>
      </c>
    </row>
    <row r="27" spans="2:22" ht="14.4" thickBot="1" x14ac:dyDescent="0.35"/>
    <row r="28" spans="2:22" ht="14.4" thickBot="1" x14ac:dyDescent="0.35">
      <c r="B28" s="607" t="s">
        <v>282</v>
      </c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</row>
    <row r="29" spans="2:22" ht="14.4" thickBot="1" x14ac:dyDescent="0.35">
      <c r="B29" s="19">
        <v>1</v>
      </c>
      <c r="C29" s="1" t="s">
        <v>283</v>
      </c>
      <c r="D29" s="203">
        <v>1734.5</v>
      </c>
      <c r="E29" s="21">
        <v>1969.43</v>
      </c>
      <c r="F29" s="21">
        <f>E31</f>
        <v>2144.62</v>
      </c>
      <c r="G29" s="21">
        <f>[21]F5!H29</f>
        <v>2144.62</v>
      </c>
      <c r="H29" s="10"/>
      <c r="I29" s="10">
        <f>G31</f>
        <v>2263.8325941139997</v>
      </c>
      <c r="J29" s="10"/>
      <c r="K29" s="10">
        <f>I31</f>
        <v>2585.3255199739997</v>
      </c>
      <c r="L29" s="203"/>
      <c r="M29" s="10">
        <f>K31</f>
        <v>2753.3724684249996</v>
      </c>
      <c r="N29" s="10"/>
      <c r="O29" s="10">
        <f>M31</f>
        <v>2778.4418397249997</v>
      </c>
      <c r="P29" s="10"/>
      <c r="Q29" s="10"/>
    </row>
    <row r="30" spans="2:22" ht="14.4" thickBot="1" x14ac:dyDescent="0.35">
      <c r="B30" s="14">
        <v>2</v>
      </c>
      <c r="C30" s="18" t="s">
        <v>284</v>
      </c>
      <c r="D30" s="18">
        <v>234.94</v>
      </c>
      <c r="E30" s="16">
        <v>175.19</v>
      </c>
      <c r="F30" s="16">
        <v>0</v>
      </c>
      <c r="G30" s="16">
        <f>[21]F5!H30</f>
        <v>119.21259411399998</v>
      </c>
      <c r="H30" s="16"/>
      <c r="I30" s="16">
        <f>$I$86</f>
        <v>321.49292586000001</v>
      </c>
      <c r="J30" s="16"/>
      <c r="K30" s="16">
        <f>'[34]Capital Structure'!$F$20</f>
        <v>168.04694845099999</v>
      </c>
      <c r="L30" s="16"/>
      <c r="M30" s="16">
        <f>'[38]REC loan'!$G$17/10^7</f>
        <v>25.0693713</v>
      </c>
      <c r="N30" s="16"/>
      <c r="O30" s="16">
        <f>I126</f>
        <v>268.75474904999999</v>
      </c>
      <c r="P30" s="16"/>
      <c r="Q30" s="16"/>
      <c r="T30" s="51"/>
      <c r="U30" s="51"/>
    </row>
    <row r="31" spans="2:22" x14ac:dyDescent="0.3">
      <c r="B31" s="19">
        <v>3</v>
      </c>
      <c r="C31" s="1" t="s">
        <v>285</v>
      </c>
      <c r="D31" s="203">
        <f>D29+D30</f>
        <v>1969.44</v>
      </c>
      <c r="E31" s="203">
        <f>E29+E30</f>
        <v>2144.62</v>
      </c>
      <c r="F31" s="21">
        <f>F29+F30</f>
        <v>2144.62</v>
      </c>
      <c r="G31" s="21">
        <f>[21]F5!H31</f>
        <v>2263.8325941139997</v>
      </c>
      <c r="H31" s="10"/>
      <c r="I31" s="203">
        <f>I29+I30</f>
        <v>2585.3255199739997</v>
      </c>
      <c r="J31" s="10"/>
      <c r="K31" s="203">
        <f>K29+K30</f>
        <v>2753.3724684249996</v>
      </c>
      <c r="L31" s="203"/>
      <c r="M31" s="203">
        <f>M29+M30</f>
        <v>2778.4418397249997</v>
      </c>
      <c r="N31" s="203">
        <f t="shared" ref="N31:O31" si="3">N29+N30</f>
        <v>0</v>
      </c>
      <c r="O31" s="203">
        <f t="shared" si="3"/>
        <v>3047.1965887749998</v>
      </c>
      <c r="P31" s="203"/>
      <c r="Q31" s="203"/>
    </row>
    <row r="32" spans="2:22" x14ac:dyDescent="0.3">
      <c r="B32" s="19">
        <v>1</v>
      </c>
      <c r="C32" s="1" t="s">
        <v>286</v>
      </c>
      <c r="D32" s="1">
        <v>1802.97</v>
      </c>
      <c r="E32" s="21">
        <v>2077.83</v>
      </c>
      <c r="F32" s="21">
        <f>E33</f>
        <v>2322.7419999999997</v>
      </c>
      <c r="G32" s="21">
        <f>[21]F5!H32</f>
        <v>2468.7759999999998</v>
      </c>
      <c r="H32" s="10"/>
      <c r="I32" s="10">
        <f>G33</f>
        <v>2656.4783603238002</v>
      </c>
      <c r="J32" s="10"/>
      <c r="K32" s="10">
        <f>I33</f>
        <v>3054.0096470314106</v>
      </c>
      <c r="L32" s="10"/>
      <c r="M32" s="10">
        <f>K33</f>
        <v>3326.1556470314113</v>
      </c>
      <c r="N32" s="10"/>
      <c r="O32" s="10">
        <f>M33</f>
        <v>3563.7590250714102</v>
      </c>
      <c r="P32" s="10"/>
      <c r="Q32" s="10"/>
      <c r="R32" s="172"/>
      <c r="S32" s="172"/>
      <c r="T32" s="172"/>
      <c r="U32" s="172"/>
      <c r="V32" s="172"/>
    </row>
    <row r="33" spans="1:22" x14ac:dyDescent="0.3">
      <c r="B33" s="19">
        <v>2</v>
      </c>
      <c r="C33" s="1" t="s">
        <v>287</v>
      </c>
      <c r="D33" s="146">
        <f>D17-D26-D41</f>
        <v>2077.8200000000002</v>
      </c>
      <c r="E33" s="10">
        <f>E17-E26-E41</f>
        <v>2322.7419999999997</v>
      </c>
      <c r="F33" s="10">
        <f>F17-F26-F41</f>
        <v>2468.7759999999998</v>
      </c>
      <c r="G33" s="21">
        <f>[21]F5!H33</f>
        <v>2656.4783603238002</v>
      </c>
      <c r="H33" s="10"/>
      <c r="I33" s="10">
        <f>I17-I26-I41</f>
        <v>3054.0096470314106</v>
      </c>
      <c r="J33" s="10"/>
      <c r="K33" s="314">
        <f>K17-K26-K41</f>
        <v>3326.1556470314113</v>
      </c>
      <c r="L33" s="10"/>
      <c r="M33" s="10">
        <f>M17-M26-M41</f>
        <v>3563.7590250714102</v>
      </c>
      <c r="N33" s="10">
        <f t="shared" ref="N33" si="4">N17-N26-N41</f>
        <v>5410.18</v>
      </c>
      <c r="O33" s="10">
        <f>O17-O26-O41</f>
        <v>3658.1367300027096</v>
      </c>
      <c r="P33" s="10"/>
      <c r="Q33" s="10"/>
    </row>
    <row r="34" spans="1:22" ht="14.4" thickBot="1" x14ac:dyDescent="0.35">
      <c r="B34" s="19">
        <v>3</v>
      </c>
      <c r="C34" s="1" t="s">
        <v>288</v>
      </c>
      <c r="D34" s="172">
        <f>D33-D32</f>
        <v>274.85000000000014</v>
      </c>
      <c r="E34" s="172">
        <f>E33-E32</f>
        <v>244.91199999999981</v>
      </c>
      <c r="F34" s="172">
        <f>F33-F32</f>
        <v>146.03400000000011</v>
      </c>
      <c r="G34" s="21">
        <f>[21]F5!H34</f>
        <v>187.70236032380035</v>
      </c>
      <c r="H34" s="172"/>
      <c r="I34" s="172">
        <f t="shared" ref="I34:Q34" si="5">I33-I32</f>
        <v>397.53128670761043</v>
      </c>
      <c r="J34" s="172"/>
      <c r="K34" s="172">
        <f>K33-K32</f>
        <v>272.14600000000064</v>
      </c>
      <c r="L34" s="172"/>
      <c r="M34" s="172">
        <f t="shared" si="5"/>
        <v>237.60337803999892</v>
      </c>
      <c r="N34" s="172">
        <f t="shared" si="5"/>
        <v>5410.18</v>
      </c>
      <c r="O34" s="172">
        <f t="shared" si="5"/>
        <v>94.377704931299377</v>
      </c>
      <c r="P34" s="172">
        <f t="shared" si="5"/>
        <v>0</v>
      </c>
      <c r="Q34" s="172">
        <f t="shared" si="5"/>
        <v>0</v>
      </c>
    </row>
    <row r="35" spans="1:22" ht="14.4" thickBot="1" x14ac:dyDescent="0.35">
      <c r="B35" s="607" t="s">
        <v>289</v>
      </c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172"/>
      <c r="P35" s="172"/>
      <c r="Q35" s="172"/>
      <c r="T35" s="51"/>
    </row>
    <row r="36" spans="1:22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22" ht="14.4" thickBot="1" x14ac:dyDescent="0.35">
      <c r="B37" s="19">
        <v>1</v>
      </c>
      <c r="C37" s="1" t="s">
        <v>290</v>
      </c>
      <c r="D37" s="207">
        <v>1735.5</v>
      </c>
      <c r="E37" s="208">
        <v>1842.52</v>
      </c>
      <c r="F37" s="207">
        <f>E39</f>
        <v>1973.32</v>
      </c>
      <c r="G37" s="21">
        <f>[21]F5!H37</f>
        <v>2365.3627957109993</v>
      </c>
      <c r="H37" s="6"/>
      <c r="I37" s="207">
        <f>G39</f>
        <v>2383.015897312001</v>
      </c>
      <c r="J37" s="6"/>
      <c r="K37" s="305">
        <f>I39</f>
        <v>2666.2291273844494</v>
      </c>
      <c r="L37" s="305"/>
      <c r="M37" s="305">
        <f>K39</f>
        <v>2757.9463025323835</v>
      </c>
      <c r="N37" s="305">
        <f>N13-N22-N29</f>
        <v>0</v>
      </c>
      <c r="O37" s="305">
        <f>M39</f>
        <v>3042.8251943706796</v>
      </c>
      <c r="P37" s="305">
        <f t="shared" ref="P37:Q37" si="6">P13-P22-P29</f>
        <v>0</v>
      </c>
      <c r="Q37" s="305">
        <f t="shared" si="6"/>
        <v>0</v>
      </c>
    </row>
    <row r="38" spans="1:22" ht="14.4" thickBot="1" x14ac:dyDescent="0.35">
      <c r="A38" s="8"/>
      <c r="B38" s="206">
        <v>2</v>
      </c>
      <c r="C38" s="18" t="s">
        <v>291</v>
      </c>
      <c r="D38" s="18">
        <v>107.02</v>
      </c>
      <c r="E38" s="201">
        <v>130.80000000000001</v>
      </c>
      <c r="F38" s="270">
        <f>F39-F37</f>
        <v>392.04279571099937</v>
      </c>
      <c r="G38" s="270">
        <f>[21]F5!H38</f>
        <v>17.653101601001708</v>
      </c>
      <c r="H38" s="18"/>
      <c r="I38" s="270">
        <f>I39-I37</f>
        <v>283.21323007244837</v>
      </c>
      <c r="J38" s="18"/>
      <c r="K38" s="270">
        <f>K39-K37</f>
        <v>91.717175147934086</v>
      </c>
      <c r="L38" s="270"/>
      <c r="M38" s="270">
        <f>M39-M37</f>
        <v>284.87889183829611</v>
      </c>
      <c r="N38" s="270">
        <f>N39-N37</f>
        <v>0</v>
      </c>
      <c r="O38" s="517">
        <f>O39-O37</f>
        <v>-39.64300465100132</v>
      </c>
      <c r="P38" s="270">
        <f t="shared" ref="P38:Q38" si="7">P39-P37</f>
        <v>0</v>
      </c>
      <c r="Q38" s="270">
        <f t="shared" si="7"/>
        <v>0</v>
      </c>
    </row>
    <row r="39" spans="1:22" x14ac:dyDescent="0.3">
      <c r="A39" s="8"/>
      <c r="B39" s="19">
        <v>3</v>
      </c>
      <c r="C39" s="1" t="s">
        <v>292</v>
      </c>
      <c r="D39" s="203">
        <f>D38+D37</f>
        <v>1842.52</v>
      </c>
      <c r="E39" s="203">
        <f>E38+E37</f>
        <v>1973.32</v>
      </c>
      <c r="F39" s="172">
        <f>F19-F24-F31</f>
        <v>2365.3627957109993</v>
      </c>
      <c r="G39" s="21">
        <f>[21]F5!H39</f>
        <v>2383.015897312001</v>
      </c>
      <c r="H39" s="8"/>
      <c r="I39" s="172">
        <f>I19-I24-I31</f>
        <v>2666.2291273844494</v>
      </c>
      <c r="J39" s="8"/>
      <c r="K39" s="172">
        <f>K19-K24-K31</f>
        <v>2757.9463025323835</v>
      </c>
      <c r="L39" s="172"/>
      <c r="M39" s="172">
        <f>M19-M24-M31</f>
        <v>3042.8251943706796</v>
      </c>
      <c r="N39" s="172">
        <f t="shared" ref="N39" si="8">N19-N24-N31</f>
        <v>0</v>
      </c>
      <c r="O39" s="172">
        <f>O19-O24-O31</f>
        <v>3003.1821897196783</v>
      </c>
      <c r="P39" s="172">
        <f t="shared" ref="P39:Q39" si="9">P19-P24-P31</f>
        <v>0</v>
      </c>
      <c r="Q39" s="172">
        <f t="shared" si="9"/>
        <v>0</v>
      </c>
    </row>
    <row r="40" spans="1:22" x14ac:dyDescent="0.3">
      <c r="B40" s="19">
        <v>4</v>
      </c>
      <c r="C40" s="1" t="s">
        <v>293</v>
      </c>
      <c r="D40" s="1">
        <v>1156.28</v>
      </c>
      <c r="E40" s="35">
        <f>E11-E25-E32</f>
        <v>1224.9900000000002</v>
      </c>
      <c r="F40" s="35">
        <f>E41</f>
        <v>1286.2180000000003</v>
      </c>
      <c r="G40" s="21">
        <f>[21]F5!H40</f>
        <v>1348.8040000000001</v>
      </c>
      <c r="H40" s="35"/>
      <c r="I40" s="35">
        <f>I11-I25-I32</f>
        <v>1429.2478687102007</v>
      </c>
      <c r="J40" s="35"/>
      <c r="K40" s="35">
        <f>I41</f>
        <v>1599.6184201563196</v>
      </c>
      <c r="L40" s="35"/>
      <c r="M40" s="35">
        <f>K41</f>
        <v>1716.2524201563197</v>
      </c>
      <c r="N40" s="35"/>
      <c r="O40" s="35">
        <f>M41</f>
        <v>1818.0824393163193</v>
      </c>
      <c r="P40" s="35"/>
      <c r="Q40" s="35"/>
    </row>
    <row r="41" spans="1:22" x14ac:dyDescent="0.3">
      <c r="B41" s="19">
        <v>5</v>
      </c>
      <c r="C41" s="1" t="s">
        <v>294</v>
      </c>
      <c r="D41" s="203">
        <v>1225</v>
      </c>
      <c r="E41" s="35">
        <f>E40+(E14-E23)*E15</f>
        <v>1286.2180000000003</v>
      </c>
      <c r="F41" s="35">
        <f>F40+(F14-F23)*F15</f>
        <v>1348.8040000000003</v>
      </c>
      <c r="G41" s="21">
        <f>[21]F5!H41</f>
        <v>1429.2478687102005</v>
      </c>
      <c r="H41" s="35"/>
      <c r="I41" s="35">
        <f>I40+(I14-I23)*I15</f>
        <v>1599.6184201563196</v>
      </c>
      <c r="J41" s="35"/>
      <c r="K41" s="35">
        <f>K40+(K14-K23)*K15</f>
        <v>1716.2524201563197</v>
      </c>
      <c r="L41" s="35"/>
      <c r="M41" s="35">
        <f>M40+(M14-M23)*M15</f>
        <v>1818.0824393163193</v>
      </c>
      <c r="N41" s="35">
        <f t="shared" ref="N41" si="10">N40+(N14-N23)*N15</f>
        <v>0</v>
      </c>
      <c r="O41" s="35">
        <f>O40+(O14-O23)*O15</f>
        <v>1858.530027144019</v>
      </c>
      <c r="P41" s="35"/>
      <c r="Q41" s="35"/>
      <c r="R41" s="172"/>
      <c r="S41" s="172"/>
      <c r="T41" s="172"/>
      <c r="U41" s="172"/>
      <c r="V41" s="172"/>
    </row>
    <row r="42" spans="1:22" x14ac:dyDescent="0.3">
      <c r="B42" s="19">
        <v>6</v>
      </c>
      <c r="C42" s="1" t="s">
        <v>295</v>
      </c>
      <c r="D42" s="1">
        <f>AVERAGE(D40,D41)</f>
        <v>1190.6399999999999</v>
      </c>
      <c r="E42" s="10">
        <f>AVERAGE(E40,E41)</f>
        <v>1255.6040000000003</v>
      </c>
      <c r="F42" s="10">
        <f t="shared" ref="F42" si="11">AVERAGE(F40,F41)</f>
        <v>1317.5110000000004</v>
      </c>
      <c r="G42" s="21">
        <f>[21]F5!H42</f>
        <v>1389.0259343551002</v>
      </c>
      <c r="H42" s="10"/>
      <c r="I42" s="10">
        <f t="shared" ref="I42:O42" si="12">AVERAGE(I40,I41)</f>
        <v>1514.4331444332602</v>
      </c>
      <c r="J42" s="10"/>
      <c r="K42" s="10">
        <f t="shared" si="12"/>
        <v>1657.9354201563197</v>
      </c>
      <c r="L42" s="10"/>
      <c r="M42" s="10">
        <f t="shared" si="12"/>
        <v>1767.1674297363195</v>
      </c>
      <c r="N42" s="10">
        <f t="shared" si="12"/>
        <v>0</v>
      </c>
      <c r="O42" s="10">
        <f t="shared" si="12"/>
        <v>1838.3062332301693</v>
      </c>
      <c r="P42" s="10"/>
      <c r="Q42" s="10"/>
    </row>
    <row r="43" spans="1:22" ht="14.4" thickBot="1" x14ac:dyDescent="0.35">
      <c r="B43" s="19">
        <v>7</v>
      </c>
      <c r="C43" s="1" t="s">
        <v>296</v>
      </c>
      <c r="D43" s="172">
        <f>D41-D40</f>
        <v>68.720000000000027</v>
      </c>
      <c r="E43" s="172">
        <f>E41-E40</f>
        <v>61.228000000000065</v>
      </c>
      <c r="F43" s="172">
        <f>F41-F40</f>
        <v>62.586000000000013</v>
      </c>
      <c r="G43" s="21">
        <f>[21]F5!H43</f>
        <v>80.443868710200377</v>
      </c>
      <c r="H43" s="172"/>
      <c r="I43" s="172">
        <f>I41-I40</f>
        <v>170.37055144611895</v>
      </c>
      <c r="J43" s="172"/>
      <c r="K43" s="172">
        <f>K41-K40</f>
        <v>116.63400000000001</v>
      </c>
      <c r="L43" s="172"/>
      <c r="M43" s="172">
        <f>M41-M40</f>
        <v>101.83001915999967</v>
      </c>
      <c r="N43" s="172">
        <f t="shared" ref="N43:O43" si="13">N41-N40</f>
        <v>0</v>
      </c>
      <c r="O43" s="172">
        <f t="shared" si="13"/>
        <v>40.447587827699635</v>
      </c>
      <c r="P43" s="172">
        <f t="shared" ref="P43:Q43" si="14">P41-P40</f>
        <v>0</v>
      </c>
      <c r="Q43" s="172">
        <f t="shared" si="14"/>
        <v>0</v>
      </c>
    </row>
    <row r="44" spans="1:22" ht="14.4" thickBot="1" x14ac:dyDescent="0.35">
      <c r="B44" s="607" t="s">
        <v>297</v>
      </c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</row>
    <row r="45" spans="1:22" x14ac:dyDescent="0.3">
      <c r="E45" s="172"/>
      <c r="F45" s="172"/>
      <c r="G45" s="172"/>
      <c r="I45" s="51"/>
    </row>
    <row r="46" spans="1:22" x14ac:dyDescent="0.3">
      <c r="B46" s="19">
        <v>1</v>
      </c>
      <c r="C46" s="1" t="s">
        <v>298</v>
      </c>
      <c r="D46" s="1">
        <v>779.16</v>
      </c>
      <c r="E46" s="21">
        <v>847.87</v>
      </c>
      <c r="F46" s="21">
        <f>E47</f>
        <v>909.09799999999996</v>
      </c>
      <c r="G46" s="21">
        <f>[21]F5!H46</f>
        <v>971.68399999999997</v>
      </c>
      <c r="H46" s="146">
        <v>1212.28</v>
      </c>
      <c r="I46" s="35">
        <f>G47</f>
        <v>1052.1278687102003</v>
      </c>
      <c r="J46" s="35">
        <v>1296.73</v>
      </c>
      <c r="K46" s="35">
        <f>I47</f>
        <v>1222.4984201563193</v>
      </c>
      <c r="L46" s="35">
        <v>1320.01</v>
      </c>
      <c r="M46" s="35">
        <f>K47</f>
        <v>1339.1324201563193</v>
      </c>
      <c r="N46" s="35">
        <v>1387.3</v>
      </c>
      <c r="O46" s="35">
        <f>M47</f>
        <v>1440.962439316319</v>
      </c>
      <c r="P46" s="35"/>
      <c r="Q46" s="35"/>
      <c r="R46" s="172"/>
      <c r="S46" s="172"/>
      <c r="T46" s="172"/>
      <c r="U46" s="172"/>
      <c r="V46" s="172"/>
    </row>
    <row r="47" spans="1:22" ht="14.4" thickBot="1" x14ac:dyDescent="0.35">
      <c r="B47" s="19">
        <v>2</v>
      </c>
      <c r="C47" s="1" t="s">
        <v>299</v>
      </c>
      <c r="D47" s="21">
        <f t="shared" ref="D47:E47" si="15">MIN(D46+(D17-D11-D23)*D15,D41)</f>
        <v>847.87400000000002</v>
      </c>
      <c r="E47" s="21">
        <f t="shared" si="15"/>
        <v>909.09799999999996</v>
      </c>
      <c r="F47" s="35">
        <f>MIN(F46+(F17-F11-F23)*F15,F41)</f>
        <v>971.68399999999997</v>
      </c>
      <c r="G47" s="21">
        <f>[21]F5!H47</f>
        <v>1052.1278687102003</v>
      </c>
      <c r="H47" s="21">
        <v>1296.73</v>
      </c>
      <c r="I47" s="35">
        <f>MIN(I46+(I17-I11-I23)*I15,I41)</f>
        <v>1222.4984201563193</v>
      </c>
      <c r="J47" s="21">
        <v>1320.01</v>
      </c>
      <c r="K47" s="35">
        <f>MIN(K46+(K17-K11-K23)*K15,K41)</f>
        <v>1339.1324201563193</v>
      </c>
      <c r="L47" s="35">
        <f>L46+(30%*L14)</f>
        <v>1338.7149999999999</v>
      </c>
      <c r="M47" s="35">
        <f>MIN(M46+(M17-M11)*M15,M41)</f>
        <v>1440.962439316319</v>
      </c>
      <c r="N47" s="35">
        <v>1433.25</v>
      </c>
      <c r="O47" s="35">
        <f>MIN(O46+(O17-O11)*O15,O41)</f>
        <v>1481.4100271440188</v>
      </c>
      <c r="P47" s="35"/>
      <c r="Q47" s="35"/>
    </row>
    <row r="48" spans="1:22" ht="14.4" thickBot="1" x14ac:dyDescent="0.35">
      <c r="B48" s="14">
        <v>3</v>
      </c>
      <c r="C48" s="18" t="s">
        <v>300</v>
      </c>
      <c r="D48" s="16">
        <f t="shared" ref="D48:Q48" si="16">AVERAGE(D46,D47)</f>
        <v>813.51700000000005</v>
      </c>
      <c r="E48" s="16">
        <f t="shared" si="16"/>
        <v>878.48399999999992</v>
      </c>
      <c r="F48" s="16">
        <f t="shared" si="16"/>
        <v>940.39099999999996</v>
      </c>
      <c r="G48" s="16">
        <f>[21]F5!H48</f>
        <v>1011.9059343551002</v>
      </c>
      <c r="H48" s="16">
        <f>AVERAGE(H46,H47)</f>
        <v>1254.5050000000001</v>
      </c>
      <c r="I48" s="16">
        <f t="shared" si="16"/>
        <v>1137.3131444332598</v>
      </c>
      <c r="J48" s="16">
        <v>1308.3699999999999</v>
      </c>
      <c r="K48" s="16">
        <f t="shared" si="16"/>
        <v>1280.8154201563193</v>
      </c>
      <c r="L48" s="16">
        <f t="shared" si="16"/>
        <v>1329.3625</v>
      </c>
      <c r="M48" s="16">
        <f t="shared" si="16"/>
        <v>1390.0474297363191</v>
      </c>
      <c r="N48" s="16">
        <f t="shared" si="16"/>
        <v>1410.2750000000001</v>
      </c>
      <c r="O48" s="16">
        <f t="shared" si="16"/>
        <v>1461.1862332301689</v>
      </c>
      <c r="P48" s="16" t="e">
        <f t="shared" si="16"/>
        <v>#DIV/0!</v>
      </c>
      <c r="Q48" s="16" t="e">
        <f t="shared" si="16"/>
        <v>#DIV/0!</v>
      </c>
      <c r="T48" s="172"/>
    </row>
    <row r="49" spans="2:23" ht="14.4" thickBot="1" x14ac:dyDescent="0.35">
      <c r="B49" s="19">
        <v>4</v>
      </c>
      <c r="C49" s="1" t="s">
        <v>296</v>
      </c>
      <c r="D49" s="172">
        <f>D47-D46</f>
        <v>68.714000000000055</v>
      </c>
      <c r="E49" s="172">
        <f>E47-E46</f>
        <v>61.227999999999952</v>
      </c>
      <c r="F49" s="172">
        <f>F47-F46</f>
        <v>62.586000000000013</v>
      </c>
      <c r="G49" s="21">
        <f>[21]F5!H49</f>
        <v>80.443868710200377</v>
      </c>
      <c r="H49" s="172">
        <f>H47-H46</f>
        <v>84.450000000000045</v>
      </c>
      <c r="I49" s="172">
        <f>I47-I46</f>
        <v>170.37055144611895</v>
      </c>
      <c r="J49" s="172">
        <f>J47-J46</f>
        <v>23.279999999999973</v>
      </c>
      <c r="K49" s="172">
        <f>K47-K46</f>
        <v>116.63400000000001</v>
      </c>
      <c r="L49" s="316">
        <f>30%*L14</f>
        <v>18.704999999999998</v>
      </c>
      <c r="M49" s="172">
        <f>M47-M46</f>
        <v>101.83001915999967</v>
      </c>
      <c r="N49" s="172">
        <f>N47-N46</f>
        <v>45.950000000000045</v>
      </c>
      <c r="O49" s="172">
        <f t="shared" ref="O49:Q49" si="17">O47-O46</f>
        <v>40.447587827699863</v>
      </c>
      <c r="P49" s="172">
        <f t="shared" si="17"/>
        <v>0</v>
      </c>
      <c r="Q49" s="172">
        <f t="shared" si="17"/>
        <v>0</v>
      </c>
    </row>
    <row r="50" spans="2:23" ht="14.4" thickBot="1" x14ac:dyDescent="0.35">
      <c r="B50" s="607" t="s">
        <v>47</v>
      </c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</row>
    <row r="51" spans="2:23" x14ac:dyDescent="0.3">
      <c r="S51" s="172"/>
      <c r="T51" s="172"/>
      <c r="U51" s="172"/>
      <c r="V51" s="172"/>
    </row>
    <row r="52" spans="2:23" ht="14.4" thickBot="1" x14ac:dyDescent="0.35">
      <c r="B52" s="19">
        <v>1</v>
      </c>
      <c r="C52" s="1" t="s">
        <v>301</v>
      </c>
      <c r="D52" s="67">
        <v>0.15501000000000001</v>
      </c>
      <c r="E52" s="67">
        <v>0.15501000000000001</v>
      </c>
      <c r="F52" s="67">
        <v>0.155</v>
      </c>
      <c r="G52" s="67">
        <f>[21]F5!H52</f>
        <v>0.155</v>
      </c>
      <c r="H52" s="12">
        <v>0.155</v>
      </c>
      <c r="I52" s="12">
        <v>0.155</v>
      </c>
      <c r="J52" s="12">
        <v>0.155</v>
      </c>
      <c r="K52" s="12">
        <v>0.155</v>
      </c>
      <c r="L52" s="12">
        <v>0.155</v>
      </c>
      <c r="M52" s="12">
        <v>0.155</v>
      </c>
      <c r="N52" s="12">
        <v>0.155</v>
      </c>
      <c r="O52" s="12">
        <v>0.155</v>
      </c>
      <c r="P52" s="204"/>
      <c r="Q52" s="204"/>
      <c r="S52" s="145"/>
      <c r="T52" s="145"/>
      <c r="U52" s="145"/>
    </row>
    <row r="53" spans="2:23" ht="14.4" thickBot="1" x14ac:dyDescent="0.35">
      <c r="B53" s="14">
        <v>2</v>
      </c>
      <c r="C53" s="18" t="s">
        <v>302</v>
      </c>
      <c r="D53" s="16">
        <f t="shared" ref="D53:F53" si="18">D48*D52</f>
        <v>126.10327017000002</v>
      </c>
      <c r="E53" s="16">
        <f t="shared" si="18"/>
        <v>136.17380484</v>
      </c>
      <c r="F53" s="16">
        <f t="shared" si="18"/>
        <v>145.760605</v>
      </c>
      <c r="G53" s="16">
        <f>[21]F5!H53</f>
        <v>156.84541982504052</v>
      </c>
      <c r="H53" s="16">
        <f>H48*H52</f>
        <v>194.44827500000002</v>
      </c>
      <c r="I53" s="16">
        <f t="shared" ref="I53:Q53" si="19">I48*I52</f>
        <v>176.28353738715526</v>
      </c>
      <c r="J53" s="16">
        <f>J48*J52</f>
        <v>202.79734999999999</v>
      </c>
      <c r="K53" s="16">
        <f t="shared" si="19"/>
        <v>198.52639012422949</v>
      </c>
      <c r="L53" s="16">
        <v>206</v>
      </c>
      <c r="M53" s="16">
        <f t="shared" si="19"/>
        <v>215.45735160912946</v>
      </c>
      <c r="N53" s="16">
        <v>218.63</v>
      </c>
      <c r="O53" s="16">
        <f t="shared" si="19"/>
        <v>226.48386615067619</v>
      </c>
      <c r="P53" s="16" t="e">
        <f t="shared" si="19"/>
        <v>#DIV/0!</v>
      </c>
      <c r="Q53" s="16" t="e">
        <f t="shared" si="19"/>
        <v>#DIV/0!</v>
      </c>
      <c r="S53" s="172"/>
      <c r="T53" s="172"/>
      <c r="U53" s="172"/>
      <c r="V53" s="172"/>
    </row>
    <row r="54" spans="2:23" x14ac:dyDescent="0.3">
      <c r="B54" s="19">
        <v>3</v>
      </c>
      <c r="C54" s="1" t="s">
        <v>303</v>
      </c>
      <c r="E54" s="67"/>
      <c r="F54" s="67"/>
      <c r="G54" s="67"/>
      <c r="H54" s="12"/>
      <c r="I54" s="12"/>
      <c r="J54" s="12"/>
      <c r="K54" s="12"/>
      <c r="L54" s="12"/>
      <c r="M54" s="12"/>
      <c r="N54" s="12"/>
    </row>
    <row r="55" spans="2:23" ht="14.4" thickBot="1" x14ac:dyDescent="0.35">
      <c r="B55" s="19">
        <v>4</v>
      </c>
      <c r="C55" s="1" t="s">
        <v>304</v>
      </c>
      <c r="D55" s="12">
        <f t="shared" ref="D55:F55" si="20">D52/(1-D54)</f>
        <v>0.15501000000000001</v>
      </c>
      <c r="E55" s="12">
        <f t="shared" si="20"/>
        <v>0.15501000000000001</v>
      </c>
      <c r="F55" s="12">
        <f t="shared" si="20"/>
        <v>0.155</v>
      </c>
      <c r="G55" s="67">
        <f>[21]F5!H55</f>
        <v>0.155</v>
      </c>
      <c r="H55" s="12">
        <f>H52/(1-H54)</f>
        <v>0.155</v>
      </c>
      <c r="I55" s="12">
        <f>I52/(1-I54)</f>
        <v>0.155</v>
      </c>
      <c r="J55" s="12"/>
      <c r="K55" s="12">
        <f>K52/(1-K54)</f>
        <v>0.155</v>
      </c>
      <c r="L55" s="12"/>
      <c r="M55" s="12">
        <v>0.155</v>
      </c>
      <c r="N55" s="12">
        <v>0.155</v>
      </c>
      <c r="O55" s="12">
        <v>0.155</v>
      </c>
      <c r="P55" s="12"/>
      <c r="Q55" s="12"/>
    </row>
    <row r="56" spans="2:23" ht="14.4" thickBot="1" x14ac:dyDescent="0.35">
      <c r="B56" s="14">
        <v>5</v>
      </c>
      <c r="C56" s="18" t="s">
        <v>305</v>
      </c>
      <c r="D56" s="16">
        <f t="shared" ref="D56:F56" si="21">D48*D55</f>
        <v>126.10327017000002</v>
      </c>
      <c r="E56" s="16">
        <f t="shared" si="21"/>
        <v>136.17380484</v>
      </c>
      <c r="F56" s="16">
        <f t="shared" si="21"/>
        <v>145.760605</v>
      </c>
      <c r="G56" s="16">
        <f>[21]F5!H56</f>
        <v>156.84541982504052</v>
      </c>
      <c r="H56" s="16">
        <f>H48*H55</f>
        <v>194.44827500000002</v>
      </c>
      <c r="I56" s="16">
        <f t="shared" ref="I56:Q56" si="22">I48*I55</f>
        <v>176.28353738715526</v>
      </c>
      <c r="J56" s="16"/>
      <c r="K56" s="16">
        <f t="shared" si="22"/>
        <v>198.52639012422949</v>
      </c>
      <c r="L56" s="16"/>
      <c r="M56" s="16">
        <f t="shared" si="22"/>
        <v>215.45735160912946</v>
      </c>
      <c r="N56" s="16">
        <v>218.63</v>
      </c>
      <c r="O56" s="16">
        <f t="shared" si="22"/>
        <v>226.48386615067619</v>
      </c>
      <c r="P56" s="16" t="e">
        <f t="shared" si="22"/>
        <v>#DIV/0!</v>
      </c>
      <c r="Q56" s="16" t="e">
        <f t="shared" si="22"/>
        <v>#DIV/0!</v>
      </c>
    </row>
    <row r="57" spans="2:23" ht="14.4" thickBot="1" x14ac:dyDescent="0.35">
      <c r="I57" s="172"/>
      <c r="J57" s="172"/>
      <c r="W57" s="172"/>
    </row>
    <row r="58" spans="2:23" ht="14.4" thickBot="1" x14ac:dyDescent="0.35">
      <c r="B58" s="607" t="s">
        <v>306</v>
      </c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</row>
    <row r="60" spans="2:23" x14ac:dyDescent="0.3">
      <c r="B60" s="19">
        <v>1</v>
      </c>
      <c r="C60" s="1" t="s">
        <v>307</v>
      </c>
      <c r="D60" s="1">
        <v>377.13</v>
      </c>
      <c r="E60" s="10">
        <f>E40-E46</f>
        <v>377.12000000000023</v>
      </c>
      <c r="F60" s="10">
        <f>E61</f>
        <v>377.12000000000035</v>
      </c>
      <c r="G60" s="10">
        <f>[21]F5!H60</f>
        <v>377.12000000000035</v>
      </c>
      <c r="H60" s="10">
        <v>377.12</v>
      </c>
      <c r="I60" s="10">
        <f>I40-I46</f>
        <v>377.12000000000035</v>
      </c>
      <c r="J60" s="10"/>
      <c r="K60" s="10">
        <f>K40-K46</f>
        <v>377.12000000000035</v>
      </c>
      <c r="L60" s="10"/>
      <c r="M60" s="10">
        <f>M40-M46</f>
        <v>377.12000000000035</v>
      </c>
      <c r="N60" s="10"/>
      <c r="O60" s="10">
        <f t="shared" ref="O60" si="23">O40-O46</f>
        <v>377.12000000000035</v>
      </c>
      <c r="P60" s="10"/>
      <c r="Q60" s="10">
        <f t="shared" ref="Q60" si="24">P61</f>
        <v>0</v>
      </c>
    </row>
    <row r="61" spans="2:23" ht="14.4" thickBot="1" x14ac:dyDescent="0.35">
      <c r="B61" s="19">
        <v>2</v>
      </c>
      <c r="C61" s="1" t="s">
        <v>308</v>
      </c>
      <c r="D61" s="1">
        <v>377.13</v>
      </c>
      <c r="E61" s="10">
        <f>E41-E47</f>
        <v>377.12000000000035</v>
      </c>
      <c r="F61" s="10">
        <f>F41-F47</f>
        <v>377.12000000000035</v>
      </c>
      <c r="G61" s="10">
        <f>[21]F5!H61</f>
        <v>377.12000000000012</v>
      </c>
      <c r="H61" s="10">
        <v>377.12</v>
      </c>
      <c r="I61" s="10">
        <f t="shared" ref="I61:K61" si="25">I41-I47</f>
        <v>377.12000000000035</v>
      </c>
      <c r="J61" s="10"/>
      <c r="K61" s="10">
        <f t="shared" si="25"/>
        <v>377.12000000000035</v>
      </c>
      <c r="L61" s="10"/>
      <c r="M61" s="314">
        <f>M41-M47</f>
        <v>377.12000000000035</v>
      </c>
      <c r="N61" s="10"/>
      <c r="O61" s="10">
        <f t="shared" ref="O61:Q61" si="26">O41-O47</f>
        <v>377.12000000000012</v>
      </c>
      <c r="P61" s="10">
        <f t="shared" si="26"/>
        <v>0</v>
      </c>
      <c r="Q61" s="10">
        <f t="shared" si="26"/>
        <v>0</v>
      </c>
    </row>
    <row r="62" spans="2:23" ht="14.4" thickBot="1" x14ac:dyDescent="0.35">
      <c r="B62" s="14">
        <v>3</v>
      </c>
      <c r="C62" s="18" t="s">
        <v>309</v>
      </c>
      <c r="D62" s="16">
        <f t="shared" ref="D62:Q62" si="27">AVERAGE(D60,D61)</f>
        <v>377.13</v>
      </c>
      <c r="E62" s="16">
        <f t="shared" si="27"/>
        <v>377.12000000000029</v>
      </c>
      <c r="F62" s="16">
        <f t="shared" si="27"/>
        <v>377.12000000000035</v>
      </c>
      <c r="G62" s="16">
        <f>[21]F5!H62</f>
        <v>377.12000000000023</v>
      </c>
      <c r="H62" s="16">
        <f t="shared" si="27"/>
        <v>377.12</v>
      </c>
      <c r="I62" s="16">
        <f t="shared" si="27"/>
        <v>377.12000000000035</v>
      </c>
      <c r="J62" s="16"/>
      <c r="K62" s="16">
        <f t="shared" si="27"/>
        <v>377.12000000000035</v>
      </c>
      <c r="L62" s="16"/>
      <c r="M62" s="16">
        <f t="shared" si="27"/>
        <v>377.12000000000035</v>
      </c>
      <c r="N62" s="16"/>
      <c r="O62" s="16">
        <f t="shared" si="27"/>
        <v>377.12000000000023</v>
      </c>
      <c r="P62" s="16">
        <f t="shared" si="27"/>
        <v>0</v>
      </c>
      <c r="Q62" s="16">
        <f t="shared" si="27"/>
        <v>0</v>
      </c>
    </row>
    <row r="63" spans="2:23" ht="14.4" thickBot="1" x14ac:dyDescent="0.35"/>
    <row r="64" spans="2:23" ht="14.4" thickBot="1" x14ac:dyDescent="0.35">
      <c r="B64" s="607" t="s">
        <v>44</v>
      </c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</row>
    <row r="65" spans="2:21" x14ac:dyDescent="0.3">
      <c r="S65" s="172"/>
    </row>
    <row r="66" spans="2:21" x14ac:dyDescent="0.3">
      <c r="B66" s="19">
        <v>1</v>
      </c>
      <c r="C66" s="1" t="s">
        <v>286</v>
      </c>
      <c r="E66" s="10">
        <f>E32</f>
        <v>2077.83</v>
      </c>
      <c r="F66" s="10"/>
      <c r="G66" s="10"/>
      <c r="H66" s="10"/>
      <c r="I66" s="10">
        <f>I32</f>
        <v>2656.4783603238002</v>
      </c>
      <c r="J66" s="10"/>
      <c r="K66" s="10">
        <f>K32</f>
        <v>3054.0096470314106</v>
      </c>
      <c r="L66" s="10"/>
      <c r="M66" s="10">
        <f>K68</f>
        <v>3431.129647031411</v>
      </c>
      <c r="N66" s="10"/>
      <c r="O66" s="10">
        <f>M68</f>
        <v>3808.2496470314113</v>
      </c>
      <c r="P66" s="10"/>
      <c r="Q66" s="10"/>
    </row>
    <row r="67" spans="2:21" x14ac:dyDescent="0.3">
      <c r="B67" s="19">
        <v>2</v>
      </c>
      <c r="C67" s="1" t="s">
        <v>307</v>
      </c>
      <c r="E67" s="10">
        <f>E60</f>
        <v>377.12000000000023</v>
      </c>
      <c r="F67" s="10"/>
      <c r="G67" s="10"/>
      <c r="H67" s="10"/>
      <c r="I67" s="10">
        <f t="shared" ref="I67:O67" si="28">I60</f>
        <v>377.12000000000035</v>
      </c>
      <c r="J67" s="10"/>
      <c r="K67" s="10">
        <f t="shared" si="28"/>
        <v>377.12000000000035</v>
      </c>
      <c r="L67" s="10"/>
      <c r="M67" s="10">
        <f t="shared" si="28"/>
        <v>377.12000000000035</v>
      </c>
      <c r="N67" s="10"/>
      <c r="O67" s="10">
        <f t="shared" si="28"/>
        <v>377.12000000000035</v>
      </c>
      <c r="P67" s="10"/>
      <c r="Q67" s="10"/>
    </row>
    <row r="68" spans="2:21" x14ac:dyDescent="0.3">
      <c r="B68" s="19">
        <v>3</v>
      </c>
      <c r="C68" s="1" t="s">
        <v>310</v>
      </c>
      <c r="E68" s="10">
        <f>E66+E67</f>
        <v>2454.9500000000003</v>
      </c>
      <c r="F68" s="10"/>
      <c r="G68" s="10"/>
      <c r="H68" s="10"/>
      <c r="I68" s="10">
        <f>I66+I67</f>
        <v>3033.5983603238005</v>
      </c>
      <c r="J68" s="10"/>
      <c r="K68" s="10">
        <f t="shared" ref="K68:O68" si="29">K66+K67</f>
        <v>3431.129647031411</v>
      </c>
      <c r="L68" s="10"/>
      <c r="M68" s="10">
        <f t="shared" si="29"/>
        <v>3808.2496470314113</v>
      </c>
      <c r="N68" s="10"/>
      <c r="O68" s="10">
        <f t="shared" si="29"/>
        <v>4185.3696470314117</v>
      </c>
      <c r="P68" s="10"/>
      <c r="Q68" s="10"/>
      <c r="U68" s="172"/>
    </row>
    <row r="69" spans="2:21" x14ac:dyDescent="0.3">
      <c r="B69" s="19">
        <v>4</v>
      </c>
      <c r="C69" s="1" t="s">
        <v>311</v>
      </c>
      <c r="E69" s="10">
        <f>E68-E70</f>
        <v>765.4200000000003</v>
      </c>
      <c r="F69" s="10"/>
      <c r="G69" s="10"/>
      <c r="H69" s="10"/>
      <c r="I69" s="10">
        <f>E69+E71</f>
        <v>927.15000000000032</v>
      </c>
      <c r="J69" s="10"/>
      <c r="K69" s="10">
        <f>I69+I71</f>
        <v>1135.6635627709002</v>
      </c>
      <c r="L69" s="10"/>
      <c r="M69" s="10">
        <f>K69+K71</f>
        <v>1367.6623207874568</v>
      </c>
      <c r="N69" s="10"/>
      <c r="O69" s="10">
        <f>M69+M71</f>
        <v>1616.7866785280646</v>
      </c>
      <c r="P69" s="10"/>
      <c r="Q69" s="10"/>
      <c r="T69" s="172"/>
    </row>
    <row r="70" spans="2:21" x14ac:dyDescent="0.3">
      <c r="B70" s="19">
        <v>1</v>
      </c>
      <c r="C70" s="1" t="s">
        <v>312</v>
      </c>
      <c r="D70" s="203">
        <v>1562.1</v>
      </c>
      <c r="E70" s="10">
        <v>1689.53</v>
      </c>
      <c r="F70" s="10">
        <f>E74</f>
        <v>1772.712</v>
      </c>
      <c r="G70" s="10">
        <f>[21]F5!H70</f>
        <v>1743.71</v>
      </c>
      <c r="H70" s="10">
        <v>2096.21</v>
      </c>
      <c r="I70" s="10">
        <f>G74</f>
        <v>1744.815717035656</v>
      </c>
      <c r="J70" s="10">
        <v>2065.85</v>
      </c>
      <c r="K70" s="10">
        <f>I74</f>
        <v>1933.833440972367</v>
      </c>
      <c r="L70" s="10">
        <v>1883.44</v>
      </c>
      <c r="M70" s="10">
        <f>K74</f>
        <v>1973.9806829558104</v>
      </c>
      <c r="N70" s="10">
        <v>1842.76</v>
      </c>
      <c r="O70" s="10">
        <f>1962.56</f>
        <v>1962.56</v>
      </c>
      <c r="P70" s="10"/>
      <c r="Q70" s="10"/>
    </row>
    <row r="71" spans="2:21" x14ac:dyDescent="0.3">
      <c r="B71" s="19">
        <f>B70+1</f>
        <v>2</v>
      </c>
      <c r="C71" s="1" t="s">
        <v>313</v>
      </c>
      <c r="D71" s="10">
        <f>'F6'!D21</f>
        <v>148.05933750000003</v>
      </c>
      <c r="E71" s="10">
        <v>161.72999999999999</v>
      </c>
      <c r="F71" s="10">
        <f>'F6'!F21</f>
        <v>175.03</v>
      </c>
      <c r="G71" s="10">
        <f>[21]F5!H71</f>
        <v>186.59664328814449</v>
      </c>
      <c r="H71" s="10">
        <v>227.39</v>
      </c>
      <c r="I71" s="10">
        <f>'F6'!I21</f>
        <v>208.51356277089994</v>
      </c>
      <c r="J71" s="10">
        <v>236.73</v>
      </c>
      <c r="K71" s="10">
        <f>'F6'!K21</f>
        <v>231.99875801655651</v>
      </c>
      <c r="L71" s="10">
        <v>242.12</v>
      </c>
      <c r="M71" s="10">
        <f>'F6'!M21</f>
        <v>249.12435774060776</v>
      </c>
      <c r="N71" s="10">
        <v>251.33</v>
      </c>
      <c r="O71" s="10">
        <f>'F6'!O21</f>
        <v>256.74539891145395</v>
      </c>
      <c r="P71" s="10"/>
      <c r="Q71" s="10"/>
    </row>
    <row r="72" spans="2:21" x14ac:dyDescent="0.3">
      <c r="B72" s="19">
        <f t="shared" ref="B72:B76" si="30">B71+1</f>
        <v>3</v>
      </c>
      <c r="C72" s="1" t="s">
        <v>314</v>
      </c>
      <c r="D72" s="10">
        <f>D33-D32</f>
        <v>274.85000000000014</v>
      </c>
      <c r="E72" s="10">
        <f>E14-E49</f>
        <v>244.91200000000003</v>
      </c>
      <c r="F72" s="10">
        <f>F14-F49</f>
        <v>146.03399999999999</v>
      </c>
      <c r="G72" s="10">
        <f>[21]F5!H72</f>
        <v>187.70236032380063</v>
      </c>
      <c r="H72" s="10">
        <f>H14-H49</f>
        <v>197.02999999999997</v>
      </c>
      <c r="I72" s="10">
        <f>I14-I49</f>
        <v>397.53128670761089</v>
      </c>
      <c r="J72" s="10">
        <v>54.32</v>
      </c>
      <c r="K72" s="10">
        <f>K14-K23-K49</f>
        <v>272.14599999999996</v>
      </c>
      <c r="L72" s="10">
        <f>70%*62.35</f>
        <v>43.644999999999996</v>
      </c>
      <c r="M72" s="10">
        <f>M14-M49</f>
        <v>237.60337803999892</v>
      </c>
      <c r="N72" s="10">
        <v>106.05</v>
      </c>
      <c r="O72" s="10">
        <f t="shared" ref="O72" si="31">O14-O49</f>
        <v>94.377704931298922</v>
      </c>
      <c r="P72" s="10"/>
      <c r="Q72" s="10"/>
    </row>
    <row r="73" spans="2:21" x14ac:dyDescent="0.3">
      <c r="B73" s="19">
        <f t="shared" si="30"/>
        <v>4</v>
      </c>
      <c r="C73" s="1" t="s">
        <v>315</v>
      </c>
      <c r="D73" s="10">
        <f t="shared" ref="D73:I73" si="32">D61-D60</f>
        <v>0</v>
      </c>
      <c r="E73" s="10">
        <f t="shared" si="32"/>
        <v>0</v>
      </c>
      <c r="F73" s="10">
        <f t="shared" si="32"/>
        <v>0</v>
      </c>
      <c r="G73" s="10">
        <f>[21]F5!H73</f>
        <v>0</v>
      </c>
      <c r="H73" s="10">
        <f>H61-H60</f>
        <v>0</v>
      </c>
      <c r="I73" s="10">
        <f t="shared" si="32"/>
        <v>0</v>
      </c>
      <c r="J73" s="10"/>
      <c r="K73" s="10"/>
      <c r="L73" s="146"/>
      <c r="M73" s="146"/>
      <c r="N73" s="10"/>
      <c r="O73" s="51"/>
    </row>
    <row r="74" spans="2:21" x14ac:dyDescent="0.3">
      <c r="B74" s="19">
        <f t="shared" si="30"/>
        <v>5</v>
      </c>
      <c r="C74" s="1" t="s">
        <v>316</v>
      </c>
      <c r="D74" s="10">
        <f>D70-D71+D72+D73</f>
        <v>1688.8906625</v>
      </c>
      <c r="E74" s="10">
        <f>E70-E71+E72+E73</f>
        <v>1772.712</v>
      </c>
      <c r="F74" s="10">
        <f t="shared" ref="F74" si="33">F70-F71+F72+F73</f>
        <v>1743.7159999999999</v>
      </c>
      <c r="G74" s="10">
        <f>[21]F5!H74</f>
        <v>1744.815717035656</v>
      </c>
      <c r="H74" s="10">
        <f>H70-H71+H72+H73</f>
        <v>2065.8500000000004</v>
      </c>
      <c r="I74" s="10">
        <f t="shared" ref="I74:K74" si="34">I70-I71+I72+I73</f>
        <v>1933.833440972367</v>
      </c>
      <c r="J74" s="10">
        <v>1883.44</v>
      </c>
      <c r="K74" s="10">
        <f t="shared" si="34"/>
        <v>1973.9806829558104</v>
      </c>
      <c r="L74" s="146">
        <f>L70-L71+L72+L73</f>
        <v>1684.9650000000001</v>
      </c>
      <c r="M74" s="146">
        <f>M70-M71+M72+M73</f>
        <v>1962.4597032552015</v>
      </c>
      <c r="N74" s="146">
        <f t="shared" ref="N74" si="35">N70-N71+N72+N73</f>
        <v>1697.48</v>
      </c>
      <c r="O74" s="146">
        <f>O70-O71+O72+O73</f>
        <v>1800.1923060198449</v>
      </c>
      <c r="P74" s="146"/>
      <c r="Q74" s="146"/>
    </row>
    <row r="75" spans="2:21" x14ac:dyDescent="0.3">
      <c r="B75" s="19">
        <f t="shared" si="30"/>
        <v>6</v>
      </c>
      <c r="C75" s="1" t="s">
        <v>317</v>
      </c>
      <c r="D75" s="10">
        <f>AVERAGE(D70,D74)</f>
        <v>1625.4953312499999</v>
      </c>
      <c r="E75" s="10">
        <f>AVERAGE(E70,E74)</f>
        <v>1731.1210000000001</v>
      </c>
      <c r="F75" s="10">
        <f t="shared" ref="F75" si="36">AVERAGE(F70,F74)</f>
        <v>1758.2139999999999</v>
      </c>
      <c r="G75" s="10">
        <f>[21]F5!H75</f>
        <v>1744.2628585178281</v>
      </c>
      <c r="H75" s="10">
        <f>AVERAGE(H70,H74)</f>
        <v>2081.0300000000002</v>
      </c>
      <c r="I75" s="10">
        <f t="shared" ref="I75:K75" si="37">AVERAGE(I70,I74)</f>
        <v>1839.3245790040114</v>
      </c>
      <c r="J75" s="10">
        <v>1974.65</v>
      </c>
      <c r="K75" s="10">
        <f t="shared" si="37"/>
        <v>1953.9070619640888</v>
      </c>
      <c r="L75" s="146">
        <f>AVERAGE(L70,L74)</f>
        <v>1784.2025000000001</v>
      </c>
      <c r="M75" s="146">
        <f>AVERAGE(M70,M74)</f>
        <v>1968.220193105506</v>
      </c>
      <c r="N75" s="146">
        <f t="shared" ref="N75:O75" si="38">AVERAGE(N70,N74)</f>
        <v>1770.12</v>
      </c>
      <c r="O75" s="146">
        <f t="shared" si="38"/>
        <v>1881.3761530099223</v>
      </c>
      <c r="P75" s="146"/>
      <c r="Q75" s="146"/>
    </row>
    <row r="76" spans="2:21" ht="14.4" thickBot="1" x14ac:dyDescent="0.35">
      <c r="B76" s="19">
        <f t="shared" si="30"/>
        <v>7</v>
      </c>
      <c r="C76" s="1" t="s">
        <v>318</v>
      </c>
      <c r="D76" s="204">
        <v>0.122</v>
      </c>
      <c r="E76" s="12">
        <v>0.1186</v>
      </c>
      <c r="F76" s="12">
        <v>0.1113</v>
      </c>
      <c r="G76" s="12">
        <f>[21]F5!H76</f>
        <v>0.10059999999999999</v>
      </c>
      <c r="H76" s="12">
        <v>0.122</v>
      </c>
      <c r="I76" s="12">
        <f>$M$86</f>
        <v>0.10864898894510773</v>
      </c>
      <c r="J76" s="12">
        <v>0.122</v>
      </c>
      <c r="K76" s="12">
        <v>0.1002</v>
      </c>
      <c r="L76" s="144">
        <v>0.122</v>
      </c>
      <c r="M76" s="144">
        <f>M117</f>
        <v>9.7580208113406758E-2</v>
      </c>
      <c r="N76" s="12">
        <v>0.1002</v>
      </c>
      <c r="O76" s="12">
        <f>M126</f>
        <v>9.9682325433345514E-2</v>
      </c>
      <c r="P76" s="202"/>
      <c r="Q76" s="202"/>
      <c r="R76" s="172"/>
    </row>
    <row r="77" spans="2:21" ht="14.4" thickBot="1" x14ac:dyDescent="0.35">
      <c r="B77" s="14">
        <f>B76+1</f>
        <v>8</v>
      </c>
      <c r="C77" s="18" t="s">
        <v>319</v>
      </c>
      <c r="D77" s="16">
        <f>D75*D76</f>
        <v>198.31043041249998</v>
      </c>
      <c r="E77" s="16">
        <v>205.35</v>
      </c>
      <c r="F77" s="16">
        <v>195.65</v>
      </c>
      <c r="G77" s="16">
        <f>[21]F5!H77</f>
        <v>175.47284356689349</v>
      </c>
      <c r="H77" s="16">
        <f t="shared" ref="H77:Q77" si="39">H75*H76</f>
        <v>253.88566000000003</v>
      </c>
      <c r="I77" s="16">
        <f t="shared" si="39"/>
        <v>199.84075585067177</v>
      </c>
      <c r="J77" s="312">
        <f t="shared" si="39"/>
        <v>240.90729999999999</v>
      </c>
      <c r="K77" s="312">
        <v>195.77</v>
      </c>
      <c r="L77" s="16">
        <v>198.77</v>
      </c>
      <c r="M77" s="16">
        <f>(M75*M76)+'[24]36. Finance cost'!$F$12/10^7</f>
        <v>192.26389384024492</v>
      </c>
      <c r="N77" s="16">
        <v>177.34</v>
      </c>
      <c r="O77" s="518">
        <f>(O75*O76)+('[25]36. Finance cost'!$F$12/10^2)</f>
        <v>187.60957992887072</v>
      </c>
      <c r="P77" s="16">
        <f t="shared" si="39"/>
        <v>0</v>
      </c>
      <c r="Q77" s="16">
        <f t="shared" si="39"/>
        <v>0</v>
      </c>
      <c r="R77" s="172"/>
    </row>
    <row r="78" spans="2:21" x14ac:dyDescent="0.3">
      <c r="H78" s="1">
        <v>253.89</v>
      </c>
      <c r="I78" s="51"/>
    </row>
    <row r="79" spans="2:21" ht="15.75" customHeight="1" thickBot="1" x14ac:dyDescent="0.35">
      <c r="B79" s="590" t="s">
        <v>320</v>
      </c>
      <c r="C79" s="590"/>
      <c r="D79" s="590"/>
      <c r="E79" s="590"/>
      <c r="F79" s="590"/>
      <c r="G79" s="590"/>
      <c r="H79" s="590"/>
      <c r="I79" s="590"/>
      <c r="J79" s="590"/>
      <c r="K79" s="590"/>
      <c r="L79" s="590"/>
      <c r="M79" s="590"/>
      <c r="N79" s="590"/>
    </row>
    <row r="80" spans="2:21" ht="14.4" thickBot="1" x14ac:dyDescent="0.35">
      <c r="B80" s="13" t="s">
        <v>1</v>
      </c>
      <c r="C80" s="13" t="s">
        <v>2</v>
      </c>
      <c r="D80" s="13"/>
      <c r="E80" s="13"/>
      <c r="F80" s="13"/>
      <c r="G80" s="13"/>
      <c r="H80" s="7" t="s">
        <v>321</v>
      </c>
      <c r="I80" s="13" t="s">
        <v>322</v>
      </c>
      <c r="J80" s="13" t="s">
        <v>323</v>
      </c>
      <c r="K80" s="13" t="s">
        <v>324</v>
      </c>
      <c r="L80" s="13" t="s">
        <v>325</v>
      </c>
      <c r="M80" s="13" t="s">
        <v>326</v>
      </c>
      <c r="N80" s="13" t="s">
        <v>327</v>
      </c>
    </row>
    <row r="81" spans="2:17" x14ac:dyDescent="0.3">
      <c r="H81" s="51"/>
      <c r="I81" s="51"/>
      <c r="J81" s="51"/>
    </row>
    <row r="82" spans="2:17" x14ac:dyDescent="0.3">
      <c r="B82" s="276">
        <v>1</v>
      </c>
      <c r="C82" s="277" t="s">
        <v>328</v>
      </c>
      <c r="D82" s="277"/>
      <c r="E82" s="277"/>
      <c r="F82" s="277"/>
      <c r="G82" s="277"/>
      <c r="H82" s="296">
        <v>921.72896760000003</v>
      </c>
      <c r="I82" s="296"/>
      <c r="J82" s="296">
        <v>126.39410890000001</v>
      </c>
      <c r="K82" s="278">
        <f>H82+I82-J82</f>
        <v>795.33485870000004</v>
      </c>
      <c r="L82" s="278">
        <f>AVERAGE(K82,H82)</f>
        <v>858.53191315000004</v>
      </c>
      <c r="M82" s="279">
        <v>0.10282056187767701</v>
      </c>
      <c r="N82" s="296">
        <v>88.274733699999999</v>
      </c>
      <c r="O82" s="172">
        <f>L82*M82</f>
        <v>88.274733699999999</v>
      </c>
    </row>
    <row r="83" spans="2:17" x14ac:dyDescent="0.3">
      <c r="B83" s="276">
        <v>2</v>
      </c>
      <c r="C83" s="277" t="s">
        <v>329</v>
      </c>
      <c r="D83" s="277"/>
      <c r="E83" s="277"/>
      <c r="F83" s="277"/>
      <c r="G83" s="277"/>
      <c r="H83" s="296">
        <v>111.4817</v>
      </c>
      <c r="I83" s="278"/>
      <c r="J83" s="278">
        <v>10.765000000000001</v>
      </c>
      <c r="K83" s="278">
        <f t="shared" ref="K83:K85" si="40">H83+I83-J83</f>
        <v>100.7167</v>
      </c>
      <c r="L83" s="278">
        <f t="shared" ref="L83:L85" si="41">AVERAGE(K83,H83)</f>
        <v>106.0992</v>
      </c>
      <c r="M83" s="279">
        <v>0.106276956847931</v>
      </c>
      <c r="N83" s="296">
        <v>11.275900099999999</v>
      </c>
      <c r="O83" s="172">
        <f t="shared" ref="O83:O85" si="42">L83*M83</f>
        <v>11.275900099999999</v>
      </c>
    </row>
    <row r="84" spans="2:17" x14ac:dyDescent="0.3">
      <c r="B84" s="276">
        <v>3</v>
      </c>
      <c r="C84" s="280" t="s">
        <v>330</v>
      </c>
      <c r="D84" s="280"/>
      <c r="E84" s="280"/>
      <c r="F84" s="280"/>
      <c r="G84" s="280"/>
      <c r="H84" s="296">
        <v>15.69</v>
      </c>
      <c r="I84" s="296"/>
      <c r="J84" s="296"/>
      <c r="K84" s="278">
        <f t="shared" si="40"/>
        <v>15.69</v>
      </c>
      <c r="L84" s="278">
        <f t="shared" si="41"/>
        <v>15.69</v>
      </c>
      <c r="M84" s="279">
        <v>8.8983562778840022E-2</v>
      </c>
      <c r="N84" s="296">
        <v>1.3961520999999999</v>
      </c>
      <c r="O84" s="172">
        <f t="shared" si="42"/>
        <v>1.3961520999999999</v>
      </c>
    </row>
    <row r="85" spans="2:17" ht="14.4" thickBot="1" x14ac:dyDescent="0.35">
      <c r="B85" s="276">
        <v>4</v>
      </c>
      <c r="C85" s="280" t="s">
        <v>331</v>
      </c>
      <c r="D85" s="280"/>
      <c r="E85" s="280"/>
      <c r="F85" s="280"/>
      <c r="G85" s="280"/>
      <c r="H85" s="296">
        <v>189.89626191399998</v>
      </c>
      <c r="I85" s="296">
        <v>321.49292586000001</v>
      </c>
      <c r="J85" s="297"/>
      <c r="K85" s="278">
        <f t="shared" si="40"/>
        <v>511.38918777399999</v>
      </c>
      <c r="L85" s="278">
        <f t="shared" si="41"/>
        <v>350.64272484399999</v>
      </c>
      <c r="M85" s="279">
        <v>9.5958779737892949E-2</v>
      </c>
      <c r="N85" s="296">
        <v>33.647247999999998</v>
      </c>
      <c r="O85" s="172">
        <f t="shared" si="42"/>
        <v>33.647247999999998</v>
      </c>
    </row>
    <row r="86" spans="2:17" ht="14.4" thickBot="1" x14ac:dyDescent="0.35">
      <c r="B86" s="14">
        <v>5</v>
      </c>
      <c r="C86" s="16" t="s">
        <v>98</v>
      </c>
      <c r="D86" s="16"/>
      <c r="E86" s="16"/>
      <c r="F86" s="16"/>
      <c r="G86" s="16"/>
      <c r="H86" s="16">
        <f>SUM(H82:H85)</f>
        <v>1238.7969295140001</v>
      </c>
      <c r="I86" s="16">
        <f>SUM(I82:I85)</f>
        <v>321.49292586000001</v>
      </c>
      <c r="J86" s="16">
        <f>SUM(J82:J85)</f>
        <v>137.15910890000001</v>
      </c>
      <c r="K86" s="16">
        <f>SUM(K82:K85)</f>
        <v>1423.130746474</v>
      </c>
      <c r="L86" s="16">
        <f>SUM(L82:L85)</f>
        <v>1330.9638379940002</v>
      </c>
      <c r="M86" s="34">
        <f>N86/H86</f>
        <v>0.10864898894510773</v>
      </c>
      <c r="N86" s="17">
        <f>SUM(N82:N85)</f>
        <v>134.5940339</v>
      </c>
      <c r="O86" s="172">
        <f>SUM(O82:O85)</f>
        <v>134.5940339</v>
      </c>
    </row>
    <row r="88" spans="2:17" ht="14.4" thickBot="1" x14ac:dyDescent="0.35">
      <c r="B88" s="590" t="s">
        <v>332</v>
      </c>
      <c r="C88" s="590"/>
      <c r="D88" s="590"/>
      <c r="E88" s="590"/>
      <c r="F88" s="590"/>
      <c r="G88" s="590"/>
      <c r="H88" s="590"/>
      <c r="I88" s="590"/>
      <c r="J88" s="590"/>
      <c r="K88" s="590"/>
      <c r="L88" s="590"/>
      <c r="M88" s="590"/>
      <c r="N88" s="590"/>
    </row>
    <row r="89" spans="2:17" ht="14.4" thickBot="1" x14ac:dyDescent="0.35">
      <c r="B89" s="13" t="s">
        <v>1</v>
      </c>
      <c r="C89" s="13" t="s">
        <v>2</v>
      </c>
      <c r="D89" s="13"/>
      <c r="E89" s="13"/>
      <c r="F89" s="13"/>
      <c r="G89" s="13"/>
      <c r="H89" s="7" t="s">
        <v>321</v>
      </c>
      <c r="I89" s="13" t="s">
        <v>322</v>
      </c>
      <c r="J89" s="13" t="s">
        <v>323</v>
      </c>
      <c r="K89" s="13" t="s">
        <v>324</v>
      </c>
      <c r="L89" s="13" t="s">
        <v>325</v>
      </c>
      <c r="M89" s="13" t="s">
        <v>326</v>
      </c>
      <c r="N89" s="13" t="s">
        <v>327</v>
      </c>
    </row>
    <row r="90" spans="2:17" x14ac:dyDescent="0.3">
      <c r="H90" s="51"/>
      <c r="I90" s="51"/>
      <c r="J90" s="51"/>
    </row>
    <row r="91" spans="2:17" x14ac:dyDescent="0.3">
      <c r="B91" s="276">
        <v>1</v>
      </c>
      <c r="C91" s="277" t="s">
        <v>328</v>
      </c>
      <c r="D91" s="277"/>
      <c r="E91" s="277"/>
      <c r="F91" s="277"/>
      <c r="G91" s="277"/>
      <c r="H91" s="296">
        <f>[39]Sheet1!$F$4</f>
        <v>795.33485900000005</v>
      </c>
      <c r="I91" s="296">
        <f>[39]Sheet1!$G$4</f>
        <v>0</v>
      </c>
      <c r="J91" s="296">
        <f>[39]Sheet1!$H$4</f>
        <v>126.39410549999999</v>
      </c>
      <c r="K91" s="278">
        <f>H91+I91-J91</f>
        <v>668.94075350000003</v>
      </c>
      <c r="L91" s="278">
        <f>AVERAGE(K91,H91)</f>
        <v>732.13780625000004</v>
      </c>
      <c r="M91" s="279">
        <v>0.10249999999999999</v>
      </c>
      <c r="N91" s="296">
        <f>L91*M91</f>
        <v>75.044125140624999</v>
      </c>
      <c r="P91" s="172"/>
    </row>
    <row r="92" spans="2:17" x14ac:dyDescent="0.3">
      <c r="B92" s="276">
        <v>2</v>
      </c>
      <c r="C92" s="277" t="s">
        <v>329</v>
      </c>
      <c r="D92" s="277"/>
      <c r="E92" s="277"/>
      <c r="F92" s="277"/>
      <c r="G92" s="277"/>
      <c r="H92" s="296">
        <f>[39]Sheet1!$F$7</f>
        <v>100.7167</v>
      </c>
      <c r="I92" s="278">
        <f>[39]Sheet1!$G$7</f>
        <v>0</v>
      </c>
      <c r="J92" s="278">
        <f>[39]Sheet1!$H$7</f>
        <v>100.7167</v>
      </c>
      <c r="K92" s="278">
        <f>H92+I92-J92</f>
        <v>0</v>
      </c>
      <c r="L92" s="278">
        <f t="shared" ref="L92:L95" si="43">AVERAGE(K92,H92)</f>
        <v>50.358350000000002</v>
      </c>
      <c r="M92" s="279">
        <v>0.106276956847931</v>
      </c>
      <c r="N92" s="296">
        <f t="shared" ref="N92:N95" si="44">L92*M92</f>
        <v>5.3519321898830059</v>
      </c>
      <c r="P92" s="172"/>
    </row>
    <row r="93" spans="2:17" x14ac:dyDescent="0.3">
      <c r="B93" s="276">
        <v>3</v>
      </c>
      <c r="C93" s="280" t="s">
        <v>330</v>
      </c>
      <c r="D93" s="280"/>
      <c r="E93" s="280"/>
      <c r="F93" s="280"/>
      <c r="G93" s="280"/>
      <c r="H93" s="296">
        <v>15.69</v>
      </c>
      <c r="I93" s="296">
        <f>[39]Sheet1!$G$6</f>
        <v>0</v>
      </c>
      <c r="J93" s="296">
        <f>[39]Sheet1!$H$6</f>
        <v>15.69</v>
      </c>
      <c r="K93" s="278">
        <f>H93+I93-J93</f>
        <v>0</v>
      </c>
      <c r="L93" s="278">
        <f t="shared" si="43"/>
        <v>7.8449999999999998</v>
      </c>
      <c r="M93" s="279">
        <v>8.8983562778840022E-2</v>
      </c>
      <c r="N93" s="296">
        <f t="shared" si="44"/>
        <v>0.69807604999999995</v>
      </c>
      <c r="P93" s="172"/>
    </row>
    <row r="94" spans="2:17" x14ac:dyDescent="0.3">
      <c r="B94" s="276"/>
      <c r="C94" s="280" t="s">
        <v>333</v>
      </c>
      <c r="D94" s="280"/>
      <c r="E94" s="280"/>
      <c r="F94" s="280"/>
      <c r="G94" s="280"/>
      <c r="H94" s="296">
        <v>0</v>
      </c>
      <c r="I94" s="296">
        <f>[39]Sheet1!$G$8</f>
        <v>98.03</v>
      </c>
      <c r="J94" s="296">
        <f>[39]Sheet1!$H$8</f>
        <v>8.0783000000000005</v>
      </c>
      <c r="K94" s="278">
        <f>H94+I94-J94</f>
        <v>89.951700000000002</v>
      </c>
      <c r="L94" s="278">
        <f t="shared" si="43"/>
        <v>44.975850000000001</v>
      </c>
      <c r="M94" s="279">
        <v>7.9799999999999996E-2</v>
      </c>
      <c r="N94" s="296">
        <f>L94*M94</f>
        <v>3.5890728300000001</v>
      </c>
      <c r="O94" s="296"/>
      <c r="P94" s="172"/>
    </row>
    <row r="95" spans="2:17" ht="14.4" thickBot="1" x14ac:dyDescent="0.35">
      <c r="B95" s="276">
        <v>4</v>
      </c>
      <c r="C95" s="280" t="s">
        <v>331</v>
      </c>
      <c r="D95" s="280"/>
      <c r="E95" s="280"/>
      <c r="F95" s="280"/>
      <c r="G95" s="280"/>
      <c r="H95" s="296">
        <f>[39]Sheet1!$F$5</f>
        <v>511.38918776000003</v>
      </c>
      <c r="I95" s="296">
        <f>[39]Sheet1!$G$5</f>
        <v>168.04694845099999</v>
      </c>
      <c r="J95" s="306">
        <f>[39]Sheet1!$H$5</f>
        <v>6.4288223000000002</v>
      </c>
      <c r="K95" s="278">
        <f t="shared" ref="K95" si="45">H95+I95-J95</f>
        <v>673.0073139110001</v>
      </c>
      <c r="L95" s="278">
        <f t="shared" si="43"/>
        <v>592.19825083550006</v>
      </c>
      <c r="M95" s="279">
        <v>9.8500000000000004E-2</v>
      </c>
      <c r="N95" s="296">
        <f t="shared" si="44"/>
        <v>58.331527707296758</v>
      </c>
      <c r="P95" s="172"/>
    </row>
    <row r="96" spans="2:17" ht="14.4" thickBot="1" x14ac:dyDescent="0.35">
      <c r="B96" s="14">
        <v>5</v>
      </c>
      <c r="C96" s="16" t="s">
        <v>98</v>
      </c>
      <c r="D96" s="16"/>
      <c r="E96" s="16"/>
      <c r="F96" s="16"/>
      <c r="G96" s="16"/>
      <c r="H96" s="16">
        <f>SUM(H91:H95)</f>
        <v>1423.13074676</v>
      </c>
      <c r="I96" s="16">
        <f>SUM(I91:I95)</f>
        <v>266.07694845100002</v>
      </c>
      <c r="J96" s="16">
        <f>SUM(J91:J95)</f>
        <v>257.30792780000002</v>
      </c>
      <c r="K96" s="16">
        <f>SUM(K91:K95)</f>
        <v>1431.8997674110001</v>
      </c>
      <c r="L96" s="16">
        <f>SUM(L91:L95)</f>
        <v>1427.5152570855003</v>
      </c>
      <c r="M96" s="34">
        <f>N96/H96</f>
        <v>0.10049303919784054</v>
      </c>
      <c r="N96" s="17">
        <f>SUM(N91:N95)</f>
        <v>143.01473391780476</v>
      </c>
      <c r="P96" s="317">
        <f>N96/H96</f>
        <v>0.10049303919784054</v>
      </c>
      <c r="Q96" s="204"/>
    </row>
    <row r="97" spans="2:16" x14ac:dyDescent="0.3">
      <c r="N97" s="1">
        <f>N96/H96</f>
        <v>0.10049303919784054</v>
      </c>
      <c r="P97" s="172"/>
    </row>
    <row r="99" spans="2:16" ht="14.4" thickBot="1" x14ac:dyDescent="0.35">
      <c r="B99" s="590" t="s">
        <v>334</v>
      </c>
      <c r="C99" s="590"/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</row>
    <row r="100" spans="2:16" ht="14.4" thickBot="1" x14ac:dyDescent="0.35">
      <c r="B100" s="13" t="s">
        <v>1</v>
      </c>
      <c r="C100" s="13" t="s">
        <v>2</v>
      </c>
      <c r="D100" s="13"/>
      <c r="E100" s="13"/>
      <c r="F100" s="13"/>
      <c r="G100" s="13"/>
      <c r="H100" s="7" t="s">
        <v>321</v>
      </c>
      <c r="I100" s="13" t="s">
        <v>322</v>
      </c>
      <c r="J100" s="13" t="s">
        <v>323</v>
      </c>
      <c r="K100" s="13" t="s">
        <v>324</v>
      </c>
      <c r="L100" s="13" t="s">
        <v>325</v>
      </c>
      <c r="M100" s="13" t="s">
        <v>326</v>
      </c>
      <c r="N100" s="13" t="s">
        <v>327</v>
      </c>
    </row>
    <row r="101" spans="2:16" x14ac:dyDescent="0.3">
      <c r="H101" s="51"/>
      <c r="I101" s="51"/>
      <c r="J101" s="51"/>
    </row>
    <row r="102" spans="2:16" x14ac:dyDescent="0.3">
      <c r="B102" s="276">
        <v>1</v>
      </c>
      <c r="C102" s="277" t="s">
        <v>328</v>
      </c>
      <c r="D102" s="277"/>
      <c r="E102" s="277"/>
      <c r="F102" s="277"/>
      <c r="G102" s="277"/>
      <c r="H102" s="296">
        <f>[39]Sheet1!$F$4</f>
        <v>795.33485900000005</v>
      </c>
      <c r="I102" s="296">
        <f>[39]Sheet1!$G$4</f>
        <v>0</v>
      </c>
      <c r="J102" s="296">
        <f>[39]Sheet1!$H$4</f>
        <v>126.39410549999999</v>
      </c>
      <c r="K102" s="278">
        <f>H102+I102-J102</f>
        <v>668.94075350000003</v>
      </c>
      <c r="L102" s="278">
        <f>AVERAGE(K102,H102)</f>
        <v>732.13780625000004</v>
      </c>
      <c r="M102" s="279">
        <v>0.10249999999999999</v>
      </c>
      <c r="N102" s="296">
        <f>L102*M102</f>
        <v>75.044125140624999</v>
      </c>
    </row>
    <row r="103" spans="2:16" x14ac:dyDescent="0.3">
      <c r="B103" s="276">
        <v>2</v>
      </c>
      <c r="C103" s="277" t="s">
        <v>329</v>
      </c>
      <c r="D103" s="277"/>
      <c r="E103" s="277"/>
      <c r="F103" s="277"/>
      <c r="G103" s="277"/>
      <c r="H103" s="296">
        <f>[39]Sheet1!$F$7</f>
        <v>100.7167</v>
      </c>
      <c r="I103" s="278">
        <f>[39]Sheet1!$G$7</f>
        <v>0</v>
      </c>
      <c r="J103" s="278">
        <f>[39]Sheet1!$H$7</f>
        <v>100.7167</v>
      </c>
      <c r="K103" s="278">
        <f>H103+I103-J103</f>
        <v>0</v>
      </c>
      <c r="L103" s="278">
        <f t="shared" ref="L103:L106" si="46">AVERAGE(K103,H103)</f>
        <v>50.358350000000002</v>
      </c>
      <c r="M103" s="279">
        <v>0.106276956847931</v>
      </c>
      <c r="N103" s="296">
        <f t="shared" ref="N103:N104" si="47">L103*M103</f>
        <v>5.3519321898830059</v>
      </c>
    </row>
    <row r="104" spans="2:16" x14ac:dyDescent="0.3">
      <c r="B104" s="276">
        <v>3</v>
      </c>
      <c r="C104" s="280" t="s">
        <v>330</v>
      </c>
      <c r="D104" s="280"/>
      <c r="E104" s="280"/>
      <c r="F104" s="280"/>
      <c r="G104" s="280"/>
      <c r="H104" s="296">
        <v>15.69</v>
      </c>
      <c r="I104" s="296">
        <f>[39]Sheet1!$G$6</f>
        <v>0</v>
      </c>
      <c r="J104" s="296">
        <f>[39]Sheet1!$H$6</f>
        <v>15.69</v>
      </c>
      <c r="K104" s="278">
        <f>H104+I104-J104</f>
        <v>0</v>
      </c>
      <c r="L104" s="278">
        <f t="shared" si="46"/>
        <v>7.8449999999999998</v>
      </c>
      <c r="M104" s="279">
        <v>8.8983562778840022E-2</v>
      </c>
      <c r="N104" s="296">
        <f t="shared" si="47"/>
        <v>0.69807604999999995</v>
      </c>
    </row>
    <row r="105" spans="2:16" x14ac:dyDescent="0.3">
      <c r="B105" s="276"/>
      <c r="C105" s="280" t="s">
        <v>333</v>
      </c>
      <c r="D105" s="280"/>
      <c r="E105" s="280"/>
      <c r="F105" s="280"/>
      <c r="G105" s="280"/>
      <c r="H105" s="296">
        <v>0</v>
      </c>
      <c r="I105" s="296">
        <f>[39]Sheet1!$G$8</f>
        <v>98.03</v>
      </c>
      <c r="J105" s="296">
        <f>[39]Sheet1!$H$8</f>
        <v>8.0783000000000005</v>
      </c>
      <c r="K105" s="278">
        <f>H105+I105-J105</f>
        <v>89.951700000000002</v>
      </c>
      <c r="L105" s="278">
        <f t="shared" si="46"/>
        <v>44.975850000000001</v>
      </c>
      <c r="M105" s="279">
        <v>7.9799999999999996E-2</v>
      </c>
      <c r="N105" s="296">
        <f>L105*M105</f>
        <v>3.5890728300000001</v>
      </c>
    </row>
    <row r="106" spans="2:16" ht="14.4" thickBot="1" x14ac:dyDescent="0.35">
      <c r="B106" s="276">
        <v>4</v>
      </c>
      <c r="C106" s="280" t="s">
        <v>331</v>
      </c>
      <c r="D106" s="280"/>
      <c r="E106" s="280"/>
      <c r="F106" s="280"/>
      <c r="G106" s="280"/>
      <c r="H106" s="296">
        <f>[39]Sheet1!$F$5</f>
        <v>511.38918776000003</v>
      </c>
      <c r="I106" s="296">
        <f>[39]Sheet1!$G$5</f>
        <v>168.04694845099999</v>
      </c>
      <c r="J106" s="306">
        <f>[39]Sheet1!$H$5</f>
        <v>6.4288223000000002</v>
      </c>
      <c r="K106" s="278">
        <f t="shared" ref="K106" si="48">H106+I106-J106</f>
        <v>673.0073139110001</v>
      </c>
      <c r="L106" s="278">
        <f t="shared" si="46"/>
        <v>592.19825083550006</v>
      </c>
      <c r="M106" s="279">
        <v>9.8500000000000004E-2</v>
      </c>
      <c r="N106" s="296">
        <f t="shared" ref="N106" si="49">L106*M106</f>
        <v>58.331527707296758</v>
      </c>
    </row>
    <row r="107" spans="2:16" ht="14.4" thickBot="1" x14ac:dyDescent="0.35">
      <c r="B107" s="14">
        <v>5</v>
      </c>
      <c r="C107" s="16" t="s">
        <v>98</v>
      </c>
      <c r="D107" s="16"/>
      <c r="E107" s="16"/>
      <c r="F107" s="16"/>
      <c r="G107" s="16"/>
      <c r="H107" s="16">
        <f>SUM(H102:H106)</f>
        <v>1423.13074676</v>
      </c>
      <c r="I107" s="16">
        <f>SUM(I102:I106)</f>
        <v>266.07694845100002</v>
      </c>
      <c r="J107" s="16">
        <f>SUM(J102:J106)</f>
        <v>257.30792780000002</v>
      </c>
      <c r="K107" s="16">
        <f>SUM(K102:K106)</f>
        <v>1431.8997674110001</v>
      </c>
      <c r="L107" s="16">
        <f>SUM(L102:L106)</f>
        <v>1427.5152570855003</v>
      </c>
      <c r="M107" s="34">
        <f>N107/L107</f>
        <v>0.10018438206383315</v>
      </c>
      <c r="N107" s="17">
        <f>SUM(N102:N106)</f>
        <v>143.01473391780476</v>
      </c>
    </row>
    <row r="109" spans="2:16" ht="14.4" thickBot="1" x14ac:dyDescent="0.35">
      <c r="B109" s="590" t="s">
        <v>334</v>
      </c>
      <c r="C109" s="590"/>
      <c r="D109" s="590"/>
      <c r="E109" s="590"/>
      <c r="F109" s="590"/>
      <c r="G109" s="590"/>
      <c r="H109" s="590"/>
      <c r="I109" s="590"/>
      <c r="J109" s="590"/>
      <c r="K109" s="590"/>
      <c r="L109" s="590"/>
      <c r="M109" s="590"/>
      <c r="N109" s="590"/>
    </row>
    <row r="110" spans="2:16" ht="14.4" thickBot="1" x14ac:dyDescent="0.35">
      <c r="B110" s="13" t="s">
        <v>1</v>
      </c>
      <c r="C110" s="13" t="s">
        <v>2</v>
      </c>
      <c r="D110" s="13"/>
      <c r="E110" s="13"/>
      <c r="F110" s="13"/>
      <c r="G110" s="13"/>
      <c r="H110" s="7" t="s">
        <v>321</v>
      </c>
      <c r="I110" s="13" t="s">
        <v>322</v>
      </c>
      <c r="J110" s="13" t="s">
        <v>323</v>
      </c>
      <c r="K110" s="13" t="s">
        <v>324</v>
      </c>
      <c r="L110" s="13" t="s">
        <v>325</v>
      </c>
      <c r="M110" s="13" t="s">
        <v>326</v>
      </c>
      <c r="N110" s="13" t="s">
        <v>327</v>
      </c>
    </row>
    <row r="111" spans="2:16" x14ac:dyDescent="0.3">
      <c r="H111" s="51"/>
      <c r="I111" s="51"/>
      <c r="J111" s="51"/>
    </row>
    <row r="112" spans="2:16" x14ac:dyDescent="0.3">
      <c r="B112" s="276">
        <v>1</v>
      </c>
      <c r="C112" s="277" t="s">
        <v>328</v>
      </c>
      <c r="D112" s="277"/>
      <c r="E112" s="277"/>
      <c r="F112" s="277"/>
      <c r="G112" s="277"/>
      <c r="H112" s="296">
        <f>'[38]Annexure F Loan'!$E$30/10^7</f>
        <v>668.94075350000003</v>
      </c>
      <c r="I112" s="296"/>
      <c r="J112" s="296">
        <f>'[38]Annexure F Loan'!$K$30/10^7</f>
        <v>98.215219200000007</v>
      </c>
      <c r="K112" s="278">
        <f>H112+I112-J112</f>
        <v>570.72553430000005</v>
      </c>
      <c r="L112" s="278">
        <f>AVERAGE(K112,H112)</f>
        <v>619.8331439000001</v>
      </c>
      <c r="M112" s="279">
        <f>N112/L112</f>
        <v>0.10642293550962852</v>
      </c>
      <c r="N112" s="296">
        <f>'[38]Annexure F Loan'!$W$30/10^7</f>
        <v>65.964462699999999</v>
      </c>
    </row>
    <row r="113" spans="2:15" x14ac:dyDescent="0.3">
      <c r="B113" s="276">
        <v>2</v>
      </c>
      <c r="C113" s="277" t="s">
        <v>329</v>
      </c>
      <c r="D113" s="277"/>
      <c r="E113" s="277"/>
      <c r="F113" s="277"/>
      <c r="G113" s="277"/>
      <c r="H113" s="296"/>
      <c r="I113" s="278"/>
      <c r="J113" s="278"/>
      <c r="K113" s="278"/>
      <c r="L113" s="278"/>
      <c r="M113" s="279">
        <v>0.106276956847931</v>
      </c>
      <c r="N113" s="296">
        <f t="shared" ref="N113:N114" si="50">L113*M113</f>
        <v>0</v>
      </c>
    </row>
    <row r="114" spans="2:15" x14ac:dyDescent="0.3">
      <c r="B114" s="276">
        <v>3</v>
      </c>
      <c r="C114" s="280" t="s">
        <v>330</v>
      </c>
      <c r="D114" s="280"/>
      <c r="E114" s="280"/>
      <c r="F114" s="280"/>
      <c r="G114" s="280"/>
      <c r="H114" s="296"/>
      <c r="I114" s="296"/>
      <c r="J114" s="296"/>
      <c r="K114" s="278"/>
      <c r="L114" s="278"/>
      <c r="M114" s="279">
        <v>8.8983562778840022E-2</v>
      </c>
      <c r="N114" s="296">
        <f t="shared" si="50"/>
        <v>0</v>
      </c>
    </row>
    <row r="115" spans="2:15" x14ac:dyDescent="0.3">
      <c r="B115" s="276"/>
      <c r="C115" s="280" t="s">
        <v>333</v>
      </c>
      <c r="D115" s="280"/>
      <c r="E115" s="280"/>
      <c r="F115" s="280"/>
      <c r="G115" s="280"/>
      <c r="H115" s="296">
        <f>'[38]Annexure H(SBI)'!$C$6/10^7</f>
        <v>89.951700000000002</v>
      </c>
      <c r="I115" s="296"/>
      <c r="J115" s="296">
        <f>H115-K115</f>
        <v>10.765000000000001</v>
      </c>
      <c r="K115" s="278">
        <f>'[38]Annexure H(SBI)'!$C$13/10^7</f>
        <v>79.186700000000002</v>
      </c>
      <c r="L115" s="278">
        <f t="shared" ref="L115:L116" si="51">AVERAGE(K115,H115)</f>
        <v>84.569199999999995</v>
      </c>
      <c r="M115" s="279">
        <f>N115/L115</f>
        <v>8.0977248218027362E-2</v>
      </c>
      <c r="N115" s="296">
        <f>'[38]Annexure H(SBI)'!$G$19/10^7</f>
        <v>6.8481810999999997</v>
      </c>
    </row>
    <row r="116" spans="2:15" ht="14.4" thickBot="1" x14ac:dyDescent="0.35">
      <c r="B116" s="276">
        <v>4</v>
      </c>
      <c r="C116" s="280" t="s">
        <v>331</v>
      </c>
      <c r="D116" s="280"/>
      <c r="E116" s="280"/>
      <c r="F116" s="280"/>
      <c r="G116" s="280"/>
      <c r="H116" s="296">
        <f>'[38]REC loan'!$C$6/10^7</f>
        <v>673.00731391099998</v>
      </c>
      <c r="I116" s="296">
        <f>'[38]REC loan'!$G$17/10^7</f>
        <v>25.0693713</v>
      </c>
      <c r="J116" s="306">
        <f>'[38]REC loan'!$C$15/10^7</f>
        <v>6.4288223000000002</v>
      </c>
      <c r="K116" s="278">
        <f>'[38]REC loan'!$C$16/10^7</f>
        <v>691.64786291099995</v>
      </c>
      <c r="L116" s="278">
        <f t="shared" si="51"/>
        <v>682.32758841099997</v>
      </c>
      <c r="M116" s="279">
        <f>N116/L116</f>
        <v>9.4997131800729134E-2</v>
      </c>
      <c r="N116" s="296">
        <f>'[38]REC loan'!$G$12/10^7</f>
        <v>64.819163847553426</v>
      </c>
    </row>
    <row r="117" spans="2:15" ht="14.4" thickBot="1" x14ac:dyDescent="0.35">
      <c r="B117" s="14">
        <v>5</v>
      </c>
      <c r="C117" s="16" t="s">
        <v>98</v>
      </c>
      <c r="D117" s="16"/>
      <c r="E117" s="16"/>
      <c r="F117" s="16"/>
      <c r="G117" s="16"/>
      <c r="H117" s="16">
        <f>SUM(H112:H116)</f>
        <v>1431.8997674110001</v>
      </c>
      <c r="I117" s="16">
        <f>SUM(I112:I116)</f>
        <v>25.0693713</v>
      </c>
      <c r="J117" s="16">
        <f>SUM(J112:J116)</f>
        <v>115.4090415</v>
      </c>
      <c r="K117" s="16">
        <f>SUM(K112:K116)</f>
        <v>1341.5600972110001</v>
      </c>
      <c r="L117" s="16">
        <f>SUM(L112:L116)</f>
        <v>1386.7299323110001</v>
      </c>
      <c r="M117" s="34">
        <f>N117/L117</f>
        <v>9.7580208113406758E-2</v>
      </c>
      <c r="N117" s="519">
        <f>'[24]36. Finance cost'!$F$8/10^7</f>
        <v>135.31739539199785</v>
      </c>
    </row>
    <row r="119" spans="2:15" ht="24" customHeight="1" thickBot="1" x14ac:dyDescent="0.35">
      <c r="B119" s="590" t="s">
        <v>335</v>
      </c>
      <c r="C119" s="590"/>
      <c r="D119" s="590"/>
      <c r="E119" s="590"/>
      <c r="F119" s="590"/>
      <c r="G119" s="590"/>
      <c r="H119" s="590"/>
      <c r="I119" s="590"/>
      <c r="J119" s="590"/>
      <c r="K119" s="590"/>
      <c r="L119" s="590"/>
      <c r="M119" s="590"/>
      <c r="N119" s="590"/>
    </row>
    <row r="120" spans="2:15" ht="24" customHeight="1" thickBot="1" x14ac:dyDescent="0.35">
      <c r="B120" s="13" t="s">
        <v>1</v>
      </c>
      <c r="C120" s="13" t="s">
        <v>2</v>
      </c>
      <c r="D120" s="13"/>
      <c r="E120" s="13"/>
      <c r="F120" s="13"/>
      <c r="G120" s="13"/>
      <c r="H120" s="7" t="s">
        <v>321</v>
      </c>
      <c r="I120" s="13" t="s">
        <v>322</v>
      </c>
      <c r="J120" s="13" t="s">
        <v>323</v>
      </c>
      <c r="K120" s="13" t="s">
        <v>324</v>
      </c>
      <c r="L120" s="13" t="s">
        <v>325</v>
      </c>
      <c r="M120" s="13" t="s">
        <v>326</v>
      </c>
      <c r="N120" s="13" t="s">
        <v>327</v>
      </c>
    </row>
    <row r="121" spans="2:15" x14ac:dyDescent="0.3">
      <c r="H121" s="51"/>
      <c r="I121" s="51"/>
      <c r="J121" s="51"/>
    </row>
    <row r="122" spans="2:15" x14ac:dyDescent="0.3">
      <c r="B122" s="276">
        <v>1</v>
      </c>
      <c r="C122" s="277" t="s">
        <v>328</v>
      </c>
      <c r="D122" s="277"/>
      <c r="E122" s="277"/>
      <c r="F122" s="277"/>
      <c r="G122" s="277"/>
      <c r="H122" s="296">
        <f>'[40]PFC Loan'!$E$30/10^7</f>
        <v>570.72553430000005</v>
      </c>
      <c r="I122" s="296">
        <v>0</v>
      </c>
      <c r="J122" s="296">
        <f>'[40]PFC Loan'!$K$30/10^7</f>
        <v>98.2152198</v>
      </c>
      <c r="K122" s="278">
        <f>H122+I122-J122</f>
        <v>472.51031450000005</v>
      </c>
      <c r="L122" s="278">
        <f>AVERAGE(K122,H122)</f>
        <v>521.61792439999999</v>
      </c>
      <c r="M122" s="279">
        <f>N122/L122</f>
        <v>9.6344338354182532E-2</v>
      </c>
      <c r="N122" s="296">
        <f>'[40]PFC Loan'!$W$30/10^7</f>
        <v>50.254933800000003</v>
      </c>
    </row>
    <row r="123" spans="2:15" x14ac:dyDescent="0.3">
      <c r="B123" s="276">
        <v>2</v>
      </c>
      <c r="C123" s="277" t="s">
        <v>336</v>
      </c>
      <c r="D123" s="277"/>
      <c r="E123" s="277"/>
      <c r="F123" s="277"/>
      <c r="G123" s="277"/>
      <c r="H123" s="296">
        <f>0</f>
        <v>0</v>
      </c>
      <c r="I123" s="278">
        <f>'[40]BOM Loan'!$C$14/10^7</f>
        <v>56.677411599999999</v>
      </c>
      <c r="J123" s="278">
        <f>'[40]BOM Loan'!$C$12</f>
        <v>0</v>
      </c>
      <c r="K123" s="278">
        <f>H123+I123-J123</f>
        <v>56.677411599999999</v>
      </c>
      <c r="L123" s="278">
        <f>AVERAGE(K123,H123)</f>
        <v>28.3387058</v>
      </c>
      <c r="M123" s="279">
        <f t="shared" ref="M123:M125" si="52">N123/L123</f>
        <v>1.3008995633103329E-2</v>
      </c>
      <c r="N123" s="296">
        <f>'[40]BOM Loan'!$G$19/10^7</f>
        <v>0.36865809999999999</v>
      </c>
    </row>
    <row r="124" spans="2:15" x14ac:dyDescent="0.3">
      <c r="B124" s="276">
        <v>3</v>
      </c>
      <c r="C124" s="280" t="s">
        <v>337</v>
      </c>
      <c r="D124" s="280"/>
      <c r="E124" s="280"/>
      <c r="F124" s="280"/>
      <c r="G124" s="280"/>
      <c r="H124" s="296">
        <f>'[40]SBI Loan'!$C$6/10^7</f>
        <v>79.186700000000002</v>
      </c>
      <c r="I124" s="296">
        <f>0</f>
        <v>0</v>
      </c>
      <c r="J124" s="296">
        <f>'[40]SBI Loan'!$C$14</f>
        <v>10.765000000000001</v>
      </c>
      <c r="K124" s="278">
        <f>H124+I124-J124</f>
        <v>68.421700000000001</v>
      </c>
      <c r="L124" s="278">
        <f>AVERAGE(K124,H124)</f>
        <v>73.804200000000009</v>
      </c>
      <c r="M124" s="279">
        <f t="shared" si="52"/>
        <v>7.4242155595481002E-2</v>
      </c>
      <c r="N124" s="296">
        <f>'[40]SBI Loan'!$G$19/10^7</f>
        <v>5.4793829000000001</v>
      </c>
    </row>
    <row r="125" spans="2:15" ht="14.4" thickBot="1" x14ac:dyDescent="0.35">
      <c r="B125" s="276">
        <v>4</v>
      </c>
      <c r="C125" s="280" t="s">
        <v>331</v>
      </c>
      <c r="D125" s="280"/>
      <c r="E125" s="280"/>
      <c r="F125" s="280"/>
      <c r="G125" s="280"/>
      <c r="H125" s="296">
        <f>'[40]REC loan'!$C$6/10^7</f>
        <v>691.64786291099995</v>
      </c>
      <c r="I125" s="296">
        <f>'[40]REC loan'!$D$11</f>
        <v>212.07733744999999</v>
      </c>
      <c r="J125" s="296">
        <f>'[40]REC loan'!$D$15</f>
        <v>34.237929927000003</v>
      </c>
      <c r="K125" s="278">
        <f>H125+I125-J125</f>
        <v>869.48727043399992</v>
      </c>
      <c r="L125" s="278">
        <f>AVERAGE(K125,H125)</f>
        <v>780.56756667249988</v>
      </c>
      <c r="M125" s="279">
        <f t="shared" si="52"/>
        <v>0.10433107283252417</v>
      </c>
      <c r="N125" s="296">
        <f>'[40]REC loan'!$G$12/10^7</f>
        <v>81.437451649214751</v>
      </c>
    </row>
    <row r="126" spans="2:15" ht="14.4" thickBot="1" x14ac:dyDescent="0.35">
      <c r="B126" s="14">
        <v>5</v>
      </c>
      <c r="C126" s="16" t="s">
        <v>98</v>
      </c>
      <c r="D126" s="16"/>
      <c r="E126" s="16"/>
      <c r="F126" s="16"/>
      <c r="G126" s="16"/>
      <c r="H126" s="16">
        <f>SUM(H122:H125)</f>
        <v>1341.5600972110001</v>
      </c>
      <c r="I126" s="16">
        <f>SUM(I122:I125)</f>
        <v>268.75474904999999</v>
      </c>
      <c r="J126" s="16">
        <f>SUM(J122:J125)</f>
        <v>143.218149727</v>
      </c>
      <c r="K126" s="16">
        <f>SUM(K122:K125)</f>
        <v>1467.0966965339999</v>
      </c>
      <c r="L126" s="16">
        <f>SUM(L122:L125)</f>
        <v>1404.3283968725</v>
      </c>
      <c r="M126" s="34">
        <f>N126/L126</f>
        <v>9.9682325433345514E-2</v>
      </c>
      <c r="N126" s="17">
        <f>'[25]36. Finance cost'!$F$8/10^2</f>
        <v>139.98672027233295</v>
      </c>
      <c r="O126" s="1">
        <v>13998.672027233295</v>
      </c>
    </row>
  </sheetData>
  <mergeCells count="21">
    <mergeCell ref="B119:N119"/>
    <mergeCell ref="B4:N4"/>
    <mergeCell ref="B28:N28"/>
    <mergeCell ref="B35:N35"/>
    <mergeCell ref="B58:N58"/>
    <mergeCell ref="B64:N64"/>
    <mergeCell ref="B9:N9"/>
    <mergeCell ref="B21:N21"/>
    <mergeCell ref="B5:B7"/>
    <mergeCell ref="C5:C7"/>
    <mergeCell ref="H6:I6"/>
    <mergeCell ref="J6:K6"/>
    <mergeCell ref="L6:M6"/>
    <mergeCell ref="H5:N5"/>
    <mergeCell ref="B79:N79"/>
    <mergeCell ref="B44:N44"/>
    <mergeCell ref="B50:N50"/>
    <mergeCell ref="N6:O6"/>
    <mergeCell ref="B109:N109"/>
    <mergeCell ref="B99:N99"/>
    <mergeCell ref="B88:N88"/>
  </mergeCells>
  <pageMargins left="0.7" right="0.7" top="0.75" bottom="0.75" header="0.3" footer="0.3"/>
  <pageSetup scale="3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B2:Q135"/>
  <sheetViews>
    <sheetView showGridLines="0" view="pageBreakPreview" topLeftCell="A108" zoomScale="90" zoomScaleNormal="100" zoomScaleSheetLayoutView="90" workbookViewId="0">
      <selection activeCell="I135" sqref="I135"/>
    </sheetView>
  </sheetViews>
  <sheetFormatPr defaultColWidth="9.33203125" defaultRowHeight="13.8" x14ac:dyDescent="0.3"/>
  <cols>
    <col min="1" max="1" width="2.33203125" style="1" customWidth="1"/>
    <col min="2" max="2" width="5.6640625" style="1" bestFit="1" customWidth="1"/>
    <col min="3" max="3" width="48.5546875" style="1" bestFit="1" customWidth="1"/>
    <col min="4" max="4" width="14.44140625" style="1" customWidth="1"/>
    <col min="5" max="7" width="13.33203125" style="1" customWidth="1"/>
    <col min="8" max="8" width="12.33203125" style="1" customWidth="1"/>
    <col min="9" max="9" width="14.33203125" style="1" bestFit="1" customWidth="1"/>
    <col min="10" max="11" width="11.44140625" style="1" customWidth="1"/>
    <col min="12" max="12" width="11.6640625" style="1" customWidth="1"/>
    <col min="13" max="13" width="9.44140625" style="1" bestFit="1" customWidth="1"/>
    <col min="14" max="16384" width="9.33203125" style="1"/>
  </cols>
  <sheetData>
    <row r="2" spans="2:17" x14ac:dyDescent="0.3">
      <c r="I2" s="8"/>
      <c r="M2" s="172"/>
    </row>
    <row r="3" spans="2:17" x14ac:dyDescent="0.3">
      <c r="B3" s="6"/>
      <c r="O3" s="9" t="s">
        <v>101</v>
      </c>
    </row>
    <row r="4" spans="2:17" x14ac:dyDescent="0.3">
      <c r="B4" s="582" t="s">
        <v>14</v>
      </c>
      <c r="C4" s="582"/>
      <c r="D4" s="582"/>
      <c r="E4" s="582"/>
      <c r="F4" s="582"/>
      <c r="G4" s="582"/>
      <c r="H4" s="582"/>
      <c r="I4" s="582"/>
      <c r="J4" s="582"/>
      <c r="K4" s="582"/>
      <c r="L4" s="186"/>
      <c r="M4" s="186"/>
      <c r="N4" s="186"/>
      <c r="O4" s="186"/>
    </row>
    <row r="5" spans="2:17" ht="15" customHeight="1" x14ac:dyDescent="0.3">
      <c r="B5" s="583" t="s">
        <v>1</v>
      </c>
      <c r="C5" s="583" t="s">
        <v>2</v>
      </c>
      <c r="D5" s="174"/>
      <c r="E5" s="174"/>
      <c r="F5" s="174"/>
      <c r="G5" s="174"/>
      <c r="H5" s="583"/>
      <c r="I5" s="583"/>
      <c r="J5" s="583"/>
      <c r="K5" s="583"/>
      <c r="L5" s="186"/>
      <c r="M5" s="186"/>
      <c r="N5" s="186"/>
      <c r="O5" s="186"/>
    </row>
    <row r="6" spans="2:17" x14ac:dyDescent="0.3">
      <c r="B6" s="583"/>
      <c r="C6" s="583"/>
      <c r="D6" s="174" t="s">
        <v>22</v>
      </c>
      <c r="E6" s="174" t="s">
        <v>23</v>
      </c>
      <c r="F6" s="174" t="s">
        <v>24</v>
      </c>
      <c r="G6" s="174" t="s">
        <v>25</v>
      </c>
      <c r="H6" s="583" t="s">
        <v>26</v>
      </c>
      <c r="I6" s="583"/>
      <c r="J6" s="583" t="s">
        <v>27</v>
      </c>
      <c r="K6" s="583"/>
      <c r="L6" s="583" t="s">
        <v>28</v>
      </c>
      <c r="M6" s="583"/>
      <c r="N6" s="583" t="s">
        <v>29</v>
      </c>
      <c r="O6" s="583"/>
    </row>
    <row r="7" spans="2:17" ht="55.8" thickBot="1" x14ac:dyDescent="0.35">
      <c r="B7" s="590"/>
      <c r="C7" s="590"/>
      <c r="D7" s="7" t="s">
        <v>30</v>
      </c>
      <c r="E7" s="7" t="s">
        <v>31</v>
      </c>
      <c r="F7" s="7" t="s">
        <v>32</v>
      </c>
      <c r="G7" s="7" t="s">
        <v>265</v>
      </c>
      <c r="H7" s="7" t="s">
        <v>34</v>
      </c>
      <c r="I7" s="7" t="s">
        <v>35</v>
      </c>
      <c r="J7" s="7" t="s">
        <v>34</v>
      </c>
      <c r="K7" s="7" t="s">
        <v>35</v>
      </c>
      <c r="L7" s="7" t="s">
        <v>34</v>
      </c>
      <c r="M7" s="7" t="s">
        <v>35</v>
      </c>
      <c r="N7" s="7" t="s">
        <v>135</v>
      </c>
      <c r="O7" s="7" t="s">
        <v>35</v>
      </c>
      <c r="P7" s="482"/>
      <c r="Q7" s="482"/>
    </row>
    <row r="9" spans="2:17" x14ac:dyDescent="0.3">
      <c r="B9" s="19">
        <v>1</v>
      </c>
      <c r="C9" s="1" t="s">
        <v>267</v>
      </c>
      <c r="D9" s="10">
        <f>'F5'!D11</f>
        <v>3005.31</v>
      </c>
      <c r="E9" s="10">
        <f>'F5'!E11</f>
        <v>3348.88</v>
      </c>
      <c r="F9" s="10">
        <f>'F5'!F11</f>
        <v>3655.02</v>
      </c>
      <c r="G9" s="10">
        <f>[21]F6!H9</f>
        <v>3863.64</v>
      </c>
      <c r="H9" s="10">
        <f>'F5'!H11</f>
        <v>4669.3900000000003</v>
      </c>
      <c r="I9" s="10">
        <f>G11</f>
        <v>4131.7862290340008</v>
      </c>
      <c r="J9" s="10">
        <v>4950.87</v>
      </c>
      <c r="K9" s="10">
        <f>I11</f>
        <v>4699.6880671877307</v>
      </c>
      <c r="L9" s="51">
        <v>5028.47</v>
      </c>
      <c r="M9" s="51">
        <f>K11</f>
        <v>5096.4480671877309</v>
      </c>
      <c r="N9" s="51">
        <v>5258.68</v>
      </c>
      <c r="O9" s="51">
        <f>M11</f>
        <v>5435.8814643877313</v>
      </c>
      <c r="P9" s="51"/>
      <c r="Q9" s="51"/>
    </row>
    <row r="10" spans="2:17" x14ac:dyDescent="0.3">
      <c r="B10" s="19">
        <v>2</v>
      </c>
      <c r="C10" s="1" t="s">
        <v>338</v>
      </c>
      <c r="D10" s="10">
        <f>'F5'!D14</f>
        <v>343.57</v>
      </c>
      <c r="E10" s="10">
        <f>'F5'!E14</f>
        <v>306.14</v>
      </c>
      <c r="F10" s="10">
        <f>'F5'!F14</f>
        <v>208.62</v>
      </c>
      <c r="G10" s="10">
        <f>[21]F6!H10</f>
        <v>268.14622903400101</v>
      </c>
      <c r="H10" s="10">
        <f>'F5'!H14</f>
        <v>281.48</v>
      </c>
      <c r="I10" s="10">
        <f>'F5'!I14</f>
        <v>567.90183815372984</v>
      </c>
      <c r="J10" s="10">
        <v>77.61</v>
      </c>
      <c r="K10" s="10">
        <f>'F5'!K14</f>
        <v>396.76</v>
      </c>
      <c r="L10" s="1">
        <v>62.35</v>
      </c>
      <c r="M10" s="203">
        <f>[24]PPE!$Q$11/10^7</f>
        <v>339.43339720000012</v>
      </c>
      <c r="N10" s="1">
        <v>151.5</v>
      </c>
      <c r="O10" s="51">
        <f>([25]PPE!$Q$31/10^2)-([41]Sheet1!$E$7)</f>
        <v>134.82529275899878</v>
      </c>
      <c r="P10" s="1">
        <f>[25]PPE!$Q$31/10^2</f>
        <v>134.91279818899878</v>
      </c>
    </row>
    <row r="11" spans="2:17" x14ac:dyDescent="0.3">
      <c r="B11" s="19">
        <v>3</v>
      </c>
      <c r="C11" s="1" t="s">
        <v>273</v>
      </c>
      <c r="D11" s="10">
        <f t="shared" ref="D11:F11" si="0">D9+D10</f>
        <v>3348.88</v>
      </c>
      <c r="E11" s="10">
        <f t="shared" si="0"/>
        <v>3655.02</v>
      </c>
      <c r="F11" s="10">
        <f t="shared" si="0"/>
        <v>3863.64</v>
      </c>
      <c r="G11" s="10">
        <f>[21]F6!H11</f>
        <v>4131.7862290340008</v>
      </c>
      <c r="H11" s="10">
        <f t="shared" ref="H11:O11" si="1">H9+H10</f>
        <v>4950.8700000000008</v>
      </c>
      <c r="I11" s="10">
        <f t="shared" si="1"/>
        <v>4699.6880671877307</v>
      </c>
      <c r="J11" s="10">
        <v>5028.47</v>
      </c>
      <c r="K11" s="10">
        <f t="shared" si="1"/>
        <v>5096.4480671877309</v>
      </c>
      <c r="L11" s="10">
        <f t="shared" si="1"/>
        <v>5090.8200000000006</v>
      </c>
      <c r="M11" s="10">
        <f t="shared" si="1"/>
        <v>5435.8814643877313</v>
      </c>
      <c r="N11" s="10">
        <f t="shared" si="1"/>
        <v>5410.18</v>
      </c>
      <c r="O11" s="10">
        <f t="shared" si="1"/>
        <v>5570.7067571467305</v>
      </c>
      <c r="P11" s="10"/>
      <c r="Q11" s="10"/>
    </row>
    <row r="12" spans="2:17" x14ac:dyDescent="0.3">
      <c r="B12" s="19">
        <v>4</v>
      </c>
      <c r="C12" s="1" t="s">
        <v>339</v>
      </c>
      <c r="D12" s="10">
        <f t="shared" ref="D12:F12" si="2">AVERAGE(D9,D11)</f>
        <v>3177.0950000000003</v>
      </c>
      <c r="E12" s="10">
        <f t="shared" si="2"/>
        <v>3501.95</v>
      </c>
      <c r="F12" s="10">
        <f t="shared" si="2"/>
        <v>3759.33</v>
      </c>
      <c r="G12" s="10">
        <f>[21]F6!H12</f>
        <v>3997.7131145170006</v>
      </c>
      <c r="H12" s="10">
        <f t="shared" ref="H12:O12" si="3">AVERAGE(H9,H11)</f>
        <v>4810.130000000001</v>
      </c>
      <c r="I12" s="10">
        <f t="shared" si="3"/>
        <v>4415.7371481108657</v>
      </c>
      <c r="J12" s="10">
        <v>4989.67</v>
      </c>
      <c r="K12" s="10">
        <f t="shared" si="3"/>
        <v>4898.0680671877308</v>
      </c>
      <c r="L12" s="10">
        <f t="shared" si="3"/>
        <v>5059.6450000000004</v>
      </c>
      <c r="M12" s="10">
        <f t="shared" si="3"/>
        <v>5266.1647657877311</v>
      </c>
      <c r="N12" s="10">
        <f t="shared" si="3"/>
        <v>5334.43</v>
      </c>
      <c r="O12" s="10">
        <f t="shared" si="3"/>
        <v>5503.2941107672304</v>
      </c>
      <c r="P12" s="10"/>
      <c r="Q12" s="10"/>
    </row>
    <row r="13" spans="2:17" x14ac:dyDescent="0.3">
      <c r="B13" s="19">
        <v>5</v>
      </c>
      <c r="C13" s="1" t="s">
        <v>340</v>
      </c>
      <c r="D13" s="144">
        <v>5.2499999999999998E-2</v>
      </c>
      <c r="E13" s="144">
        <v>5.2499999999999998E-2</v>
      </c>
      <c r="F13" s="144">
        <v>5.2600000000000001E-2</v>
      </c>
      <c r="G13" s="10">
        <f>[21]F6!H13</f>
        <v>5.2564493205404517E-2</v>
      </c>
      <c r="H13" s="144">
        <v>5.2499999999999998E-2</v>
      </c>
      <c r="I13" s="12">
        <f>$L$48</f>
        <v>5.2574493488659731E-2</v>
      </c>
      <c r="J13" s="12">
        <v>5.2499999999999998E-2</v>
      </c>
      <c r="K13" s="12">
        <f>L75</f>
        <v>5.2582056106987948E-2</v>
      </c>
      <c r="L13" s="12">
        <v>5.2499999999999998E-2</v>
      </c>
      <c r="M13" s="12">
        <v>5.2600000000000001E-2</v>
      </c>
      <c r="N13" s="12">
        <v>5.2600000000000001E-2</v>
      </c>
      <c r="O13" s="12">
        <f>L131</f>
        <v>5.2574790211976127E-2</v>
      </c>
      <c r="P13" s="12"/>
      <c r="Q13" s="12"/>
    </row>
    <row r="14" spans="2:17" x14ac:dyDescent="0.3">
      <c r="B14" s="19">
        <v>6</v>
      </c>
      <c r="C14" s="1" t="s">
        <v>341</v>
      </c>
      <c r="D14" s="10">
        <f>D13*D12</f>
        <v>166.79748750000002</v>
      </c>
      <c r="E14" s="10">
        <v>183.95</v>
      </c>
      <c r="F14" s="10">
        <v>197.56</v>
      </c>
      <c r="G14" s="10">
        <f>[21]F6!H14</f>
        <v>210.13776384518542</v>
      </c>
      <c r="H14" s="10">
        <f>H13*H12</f>
        <v>252.53182500000005</v>
      </c>
      <c r="I14" s="10">
        <f t="shared" ref="I14:K14" si="4">I13*I12</f>
        <v>232.15514394098761</v>
      </c>
      <c r="J14" s="10">
        <v>261.95999999999998</v>
      </c>
      <c r="K14" s="10">
        <f t="shared" si="4"/>
        <v>257.55048992471126</v>
      </c>
      <c r="L14" s="35">
        <f>L13*L12</f>
        <v>265.63136250000002</v>
      </c>
      <c r="M14" s="35">
        <f>M13*M12</f>
        <v>277.00026668043466</v>
      </c>
      <c r="N14" s="35">
        <v>280.5</v>
      </c>
      <c r="O14" s="35">
        <f>O13*O12</f>
        <v>289.33453334839083</v>
      </c>
      <c r="P14" s="35"/>
      <c r="Q14" s="35"/>
    </row>
    <row r="15" spans="2:17" x14ac:dyDescent="0.3">
      <c r="B15" s="19">
        <v>7</v>
      </c>
      <c r="C15" s="1" t="s">
        <v>342</v>
      </c>
      <c r="D15" s="10">
        <f>'F5'!D25</f>
        <v>46.06</v>
      </c>
      <c r="E15" s="10">
        <f>'F5'!E25</f>
        <v>46.06</v>
      </c>
      <c r="F15" s="10">
        <f>'F5'!F25</f>
        <v>46.06</v>
      </c>
      <c r="G15" s="10">
        <f>[21]F6!H15</f>
        <v>46.06</v>
      </c>
      <c r="H15" s="10">
        <f>'F5'!H25</f>
        <v>46.06</v>
      </c>
      <c r="I15" s="10">
        <f>G17</f>
        <v>46.06</v>
      </c>
      <c r="J15" s="10">
        <v>46.06</v>
      </c>
      <c r="K15" s="10">
        <f>I17</f>
        <v>46.06</v>
      </c>
      <c r="L15" s="26">
        <v>46.06</v>
      </c>
      <c r="M15" s="26">
        <f>K17</f>
        <v>54.040000000000006</v>
      </c>
      <c r="N15" s="26"/>
      <c r="O15" s="238">
        <f t="shared" ref="O15" si="5">M17</f>
        <v>54.040000000000006</v>
      </c>
      <c r="P15" s="26"/>
      <c r="Q15" s="26"/>
    </row>
    <row r="16" spans="2:17" x14ac:dyDescent="0.3">
      <c r="B16" s="19">
        <v>8</v>
      </c>
      <c r="C16" s="1" t="s">
        <v>343</v>
      </c>
      <c r="D16" s="10">
        <f t="shared" ref="D16" si="6">D17-D15</f>
        <v>0</v>
      </c>
      <c r="E16" s="10">
        <f t="shared" ref="E16:F16" si="7">E17-E15</f>
        <v>0</v>
      </c>
      <c r="F16" s="10">
        <f t="shared" si="7"/>
        <v>0</v>
      </c>
      <c r="G16" s="10">
        <f>[21]F6!H16</f>
        <v>0</v>
      </c>
      <c r="H16" s="10">
        <v>0</v>
      </c>
      <c r="I16" s="10">
        <v>0</v>
      </c>
      <c r="J16" s="10">
        <v>0</v>
      </c>
      <c r="K16" s="10">
        <v>0</v>
      </c>
      <c r="L16" s="26"/>
      <c r="M16" s="26"/>
      <c r="O16" s="51"/>
    </row>
    <row r="17" spans="2:17" x14ac:dyDescent="0.3">
      <c r="B17" s="19">
        <v>9</v>
      </c>
      <c r="C17" s="1" t="s">
        <v>344</v>
      </c>
      <c r="D17" s="1">
        <f>'F5'!D26</f>
        <v>46.06</v>
      </c>
      <c r="E17" s="1">
        <f>'F5'!E26</f>
        <v>46.06</v>
      </c>
      <c r="F17" s="1">
        <f>'F5'!F26</f>
        <v>46.06</v>
      </c>
      <c r="G17" s="10">
        <f>[21]F6!H17</f>
        <v>46.06</v>
      </c>
      <c r="H17" s="1">
        <f>'F5'!H26</f>
        <v>46.06</v>
      </c>
      <c r="I17" s="1">
        <f>'F5'!I26</f>
        <v>46.06</v>
      </c>
      <c r="J17" s="1">
        <v>46.06</v>
      </c>
      <c r="K17" s="1">
        <f>'F5'!K26</f>
        <v>54.040000000000006</v>
      </c>
      <c r="L17" s="26">
        <f>L15+L16</f>
        <v>46.06</v>
      </c>
      <c r="M17" s="26">
        <f>M15+M16</f>
        <v>54.040000000000006</v>
      </c>
      <c r="N17" s="26">
        <f t="shared" ref="N17:O17" si="8">N15+N16</f>
        <v>0</v>
      </c>
      <c r="O17" s="238">
        <f t="shared" si="8"/>
        <v>54.040000000000006</v>
      </c>
      <c r="P17" s="26"/>
      <c r="Q17" s="26"/>
    </row>
    <row r="18" spans="2:17" x14ac:dyDescent="0.3">
      <c r="B18" s="19">
        <v>10</v>
      </c>
      <c r="C18" s="1" t="s">
        <v>345</v>
      </c>
      <c r="D18" s="10">
        <f>AVERAGE(D17,D15)</f>
        <v>46.06</v>
      </c>
      <c r="E18" s="10">
        <f>AVERAGE(E17,E15)</f>
        <v>46.06</v>
      </c>
      <c r="F18" s="10">
        <f>AVERAGE(F17,F15)</f>
        <v>46.06</v>
      </c>
      <c r="G18" s="10">
        <f>[21]F6!H18</f>
        <v>46.06</v>
      </c>
      <c r="H18" s="10">
        <f>AVERAGE(H17,H15)</f>
        <v>46.06</v>
      </c>
      <c r="I18" s="285">
        <f>AVERAGE(I17,I15)</f>
        <v>46.06</v>
      </c>
      <c r="J18" s="10">
        <v>46.06</v>
      </c>
      <c r="K18" s="285">
        <f>AVERAGE(K17,K15)</f>
        <v>50.050000000000004</v>
      </c>
      <c r="L18" s="448">
        <f>AVERAGE(L17,L15)</f>
        <v>46.06</v>
      </c>
      <c r="M18" s="448">
        <f>AVERAGE(M17,M15)</f>
        <v>54.040000000000006</v>
      </c>
      <c r="N18" s="448">
        <f t="shared" ref="N18:O18" si="9">AVERAGE(N17,N15)</f>
        <v>0</v>
      </c>
      <c r="O18" s="448">
        <f t="shared" si="9"/>
        <v>54.040000000000006</v>
      </c>
      <c r="P18" s="448"/>
      <c r="Q18" s="448"/>
    </row>
    <row r="19" spans="2:17" x14ac:dyDescent="0.3">
      <c r="B19" s="19">
        <v>11</v>
      </c>
      <c r="C19" s="1" t="s">
        <v>346</v>
      </c>
      <c r="D19" s="10">
        <f>D13*D18</f>
        <v>2.4181500000000002</v>
      </c>
      <c r="E19" s="10">
        <f>E13*E18</f>
        <v>2.4181500000000002</v>
      </c>
      <c r="F19" s="10">
        <f>F13*F18</f>
        <v>2.4227560000000001</v>
      </c>
      <c r="G19" s="10">
        <f>[21]F6!H19</f>
        <v>2.4211205570409322</v>
      </c>
      <c r="H19" s="10">
        <f>H13*H18</f>
        <v>2.4181500000000002</v>
      </c>
      <c r="I19" s="10">
        <f t="shared" ref="I19:O19" si="10">I13*I18</f>
        <v>2.4215811700876673</v>
      </c>
      <c r="J19" s="10">
        <v>2.42</v>
      </c>
      <c r="K19" s="10">
        <f t="shared" si="10"/>
        <v>2.6317319081547472</v>
      </c>
      <c r="L19" s="35">
        <f t="shared" si="10"/>
        <v>2.4181500000000002</v>
      </c>
      <c r="M19" s="35">
        <f t="shared" si="10"/>
        <v>2.8425040000000004</v>
      </c>
      <c r="N19" s="35">
        <v>2.84</v>
      </c>
      <c r="O19" s="35">
        <f t="shared" si="10"/>
        <v>2.8411416630551902</v>
      </c>
      <c r="P19" s="35"/>
      <c r="Q19" s="35"/>
    </row>
    <row r="20" spans="2:17" ht="14.4" thickBot="1" x14ac:dyDescent="0.35">
      <c r="B20" s="19">
        <v>12</v>
      </c>
      <c r="C20" s="1" t="s">
        <v>347</v>
      </c>
      <c r="D20" s="1">
        <v>16.32</v>
      </c>
      <c r="E20" s="1">
        <v>19.79</v>
      </c>
      <c r="F20" s="203">
        <v>20.100000000000001</v>
      </c>
      <c r="G20" s="10">
        <f>[21]F6!H20</f>
        <v>21.12</v>
      </c>
      <c r="H20" s="10">
        <v>22.09</v>
      </c>
      <c r="I20" s="146">
        <f>G20+0.1</f>
        <v>21.220000000000002</v>
      </c>
      <c r="J20" s="10">
        <v>22.18</v>
      </c>
      <c r="K20" s="10">
        <f>I20+1.7</f>
        <v>22.92</v>
      </c>
      <c r="L20" s="449">
        <v>23.14</v>
      </c>
      <c r="M20" s="466">
        <f>22.92+'[42]100% DEP ASSETS'!$F$1410</f>
        <v>25.033404939826895</v>
      </c>
      <c r="N20" s="466">
        <v>26.32</v>
      </c>
      <c r="O20" s="559">
        <f>M20+'[43]100% DEP ASSETS'!$F$1476</f>
        <v>29.747992773881695</v>
      </c>
      <c r="P20" s="466"/>
      <c r="Q20" s="466"/>
    </row>
    <row r="21" spans="2:17" ht="14.4" thickBot="1" x14ac:dyDescent="0.35">
      <c r="B21" s="14">
        <v>13</v>
      </c>
      <c r="C21" s="18" t="s">
        <v>348</v>
      </c>
      <c r="D21" s="16">
        <f>D14-D19-D20</f>
        <v>148.05933750000003</v>
      </c>
      <c r="E21" s="16">
        <v>161.72999999999999</v>
      </c>
      <c r="F21" s="16">
        <v>175.03</v>
      </c>
      <c r="G21" s="16">
        <f>G14-G19-G20</f>
        <v>186.59664328814449</v>
      </c>
      <c r="H21" s="16">
        <f>H14-H19-H20</f>
        <v>228.02367500000005</v>
      </c>
      <c r="I21" s="16">
        <f>I14-I19-I20</f>
        <v>208.51356277089994</v>
      </c>
      <c r="J21" s="16">
        <v>237.36</v>
      </c>
      <c r="K21" s="16">
        <f>K14-K19-K20</f>
        <v>231.99875801655651</v>
      </c>
      <c r="L21" s="16">
        <f>L14-L19-L20</f>
        <v>240.07321250000001</v>
      </c>
      <c r="M21" s="16">
        <f>M14-M19-M20</f>
        <v>249.12435774060776</v>
      </c>
      <c r="N21" s="16">
        <v>251.33</v>
      </c>
      <c r="O21" s="16">
        <f t="shared" ref="O21:Q21" si="11">O14-O19-O20</f>
        <v>256.74539891145395</v>
      </c>
      <c r="P21" s="16">
        <f t="shared" si="11"/>
        <v>0</v>
      </c>
      <c r="Q21" s="16">
        <f t="shared" si="11"/>
        <v>0</v>
      </c>
    </row>
    <row r="22" spans="2:17" x14ac:dyDescent="0.3">
      <c r="C22" s="26"/>
      <c r="D22" s="26"/>
      <c r="E22" s="26"/>
      <c r="F22" s="26"/>
      <c r="G22" s="26"/>
      <c r="H22" s="26">
        <v>228.02</v>
      </c>
      <c r="I22" s="26"/>
    </row>
    <row r="23" spans="2:17" x14ac:dyDescent="0.3">
      <c r="C23" s="26"/>
      <c r="D23" s="26"/>
      <c r="E23" s="26"/>
      <c r="F23" s="26"/>
      <c r="G23" s="26"/>
      <c r="H23" s="26"/>
      <c r="I23" s="238"/>
      <c r="O23" s="172">
        <f>O12+('F3'!D208/2)</f>
        <v>5533.4755253612302</v>
      </c>
    </row>
    <row r="24" spans="2:17" x14ac:dyDescent="0.3">
      <c r="M24" s="9"/>
    </row>
    <row r="25" spans="2:17" x14ac:dyDescent="0.3">
      <c r="B25" s="582" t="s">
        <v>1</v>
      </c>
      <c r="C25" s="582" t="s">
        <v>2</v>
      </c>
      <c r="D25" s="197"/>
      <c r="E25" s="197"/>
      <c r="F25" s="197"/>
      <c r="G25" s="197"/>
      <c r="H25" s="582" t="s">
        <v>349</v>
      </c>
      <c r="I25" s="582"/>
      <c r="J25" s="609" t="s">
        <v>350</v>
      </c>
      <c r="K25" s="197" t="s">
        <v>351</v>
      </c>
      <c r="L25" s="197" t="s">
        <v>352</v>
      </c>
    </row>
    <row r="26" spans="2:17" ht="14.4" thickBot="1" x14ac:dyDescent="0.35">
      <c r="B26" s="590"/>
      <c r="C26" s="590"/>
      <c r="D26" s="13"/>
      <c r="E26" s="13"/>
      <c r="F26" s="13"/>
      <c r="G26" s="13"/>
      <c r="H26" s="13" t="s">
        <v>25</v>
      </c>
      <c r="I26" s="13" t="s">
        <v>26</v>
      </c>
      <c r="J26" s="604"/>
      <c r="K26" s="13" t="s">
        <v>26</v>
      </c>
      <c r="L26" s="13" t="s">
        <v>26</v>
      </c>
    </row>
    <row r="27" spans="2:17" s="26" customFormat="1" x14ac:dyDescent="0.3">
      <c r="B27" s="48"/>
      <c r="C27" s="48"/>
      <c r="D27" s="48"/>
      <c r="E27" s="48"/>
      <c r="F27" s="48"/>
      <c r="G27" s="48"/>
      <c r="H27" s="49"/>
      <c r="I27" s="49"/>
      <c r="J27" s="28"/>
      <c r="K27" s="28"/>
      <c r="L27" s="28"/>
    </row>
    <row r="28" spans="2:17" x14ac:dyDescent="0.3">
      <c r="B28" s="6" t="s">
        <v>228</v>
      </c>
      <c r="C28" s="8" t="s">
        <v>353</v>
      </c>
      <c r="D28" s="8"/>
      <c r="E28" s="8"/>
      <c r="F28" s="8"/>
      <c r="G28" s="8"/>
      <c r="H28" s="11">
        <f>H29</f>
        <v>0.28938036299999953</v>
      </c>
      <c r="I28" s="11">
        <f t="shared" ref="I28" si="12">I29</f>
        <v>0.28938036299999953</v>
      </c>
      <c r="J28" s="8"/>
      <c r="K28" s="11">
        <f t="shared" ref="K28:L28" si="13">K29</f>
        <v>0.28938036299999953</v>
      </c>
      <c r="L28" s="11">
        <f t="shared" si="13"/>
        <v>9.6653041241999832E-3</v>
      </c>
    </row>
    <row r="29" spans="2:17" x14ac:dyDescent="0.3">
      <c r="B29" s="19">
        <v>1</v>
      </c>
      <c r="C29" s="1" t="s">
        <v>354</v>
      </c>
      <c r="H29" s="10">
        <f>[22]PPE!$D$10/10^7</f>
        <v>0.28938036299999953</v>
      </c>
      <c r="I29" s="10">
        <f>[22]PPE!$D$18/10^7</f>
        <v>0.28938036299999953</v>
      </c>
      <c r="J29" s="12">
        <v>3.3399999999999999E-2</v>
      </c>
      <c r="K29" s="10">
        <f>AVERAGE(H29,I29)</f>
        <v>0.28938036299999953</v>
      </c>
      <c r="L29" s="10">
        <f>K29*$J29</f>
        <v>9.6653041241999832E-3</v>
      </c>
    </row>
    <row r="30" spans="2:17" x14ac:dyDescent="0.3">
      <c r="B30" s="19"/>
      <c r="H30" s="51"/>
      <c r="I30" s="10"/>
      <c r="J30" s="12"/>
      <c r="K30" s="10"/>
      <c r="L30" s="10"/>
    </row>
    <row r="31" spans="2:17" x14ac:dyDescent="0.3">
      <c r="B31" s="6" t="s">
        <v>229</v>
      </c>
      <c r="C31" s="8" t="s">
        <v>355</v>
      </c>
      <c r="D31" s="8"/>
      <c r="E31" s="8"/>
      <c r="F31" s="8"/>
      <c r="G31" s="8"/>
      <c r="H31" s="11">
        <f t="shared" ref="H31:I31" si="14">SUM(H32:H44)</f>
        <v>4147.0848589830002</v>
      </c>
      <c r="I31" s="11">
        <f t="shared" si="14"/>
        <v>4714.9866971367301</v>
      </c>
      <c r="J31" s="52"/>
      <c r="K31" s="11">
        <f t="shared" ref="K31:L31" si="15">SUM(K32:K44)</f>
        <v>4431.0357780598652</v>
      </c>
      <c r="L31" s="11">
        <f t="shared" si="15"/>
        <v>232.96501038351278</v>
      </c>
    </row>
    <row r="32" spans="2:17" x14ac:dyDescent="0.3">
      <c r="B32" s="19">
        <v>1</v>
      </c>
      <c r="C32" s="1" t="s">
        <v>356</v>
      </c>
      <c r="H32" s="10">
        <f>[22]PPE!$E$10/10^7</f>
        <v>0.331655757</v>
      </c>
      <c r="I32" s="10">
        <f>[22]PPE!$E$18/10^7</f>
        <v>0.331655757</v>
      </c>
      <c r="J32" s="12">
        <v>0</v>
      </c>
      <c r="K32" s="10">
        <f t="shared" ref="K32:K44" si="16">AVERAGE(H32,I32)</f>
        <v>0.331655757</v>
      </c>
      <c r="L32" s="10">
        <f t="shared" ref="L32:L44" si="17">K32*$J32</f>
        <v>0</v>
      </c>
    </row>
    <row r="33" spans="2:12" x14ac:dyDescent="0.3">
      <c r="B33" s="19">
        <v>2</v>
      </c>
      <c r="C33" s="1" t="s">
        <v>357</v>
      </c>
      <c r="H33" s="10">
        <f>[22]PPE!$F$10/10^7</f>
        <v>31.126425279999999</v>
      </c>
      <c r="I33" s="10">
        <f>[22]PPE!$F$18/10^7</f>
        <v>29.910224695000004</v>
      </c>
      <c r="J33" s="12">
        <v>3.3399999999999999E-2</v>
      </c>
      <c r="K33" s="10">
        <f t="shared" si="16"/>
        <v>30.518324987500002</v>
      </c>
      <c r="L33" s="10">
        <f t="shared" si="17"/>
        <v>1.0193120545825001</v>
      </c>
    </row>
    <row r="34" spans="2:12" x14ac:dyDescent="0.3">
      <c r="B34" s="19">
        <v>3</v>
      </c>
      <c r="C34" s="1" t="s">
        <v>358</v>
      </c>
      <c r="H34" s="10">
        <f>[22]PPE!$G$10/10^7</f>
        <v>14.481288535999999</v>
      </c>
      <c r="I34" s="10">
        <f>[22]PPE!$G$18/10^7</f>
        <v>15.089756055999997</v>
      </c>
      <c r="J34" s="12">
        <v>3.3399999999999999E-2</v>
      </c>
      <c r="K34" s="10">
        <f t="shared" si="16"/>
        <v>14.785522295999998</v>
      </c>
      <c r="L34" s="10">
        <f t="shared" si="17"/>
        <v>0.49383644468639992</v>
      </c>
    </row>
    <row r="35" spans="2:12" x14ac:dyDescent="0.3">
      <c r="B35" s="19">
        <v>4</v>
      </c>
      <c r="C35" s="1" t="s">
        <v>359</v>
      </c>
      <c r="H35" s="10">
        <f>[22]PPE!$H$10/10^7</f>
        <v>6.4721609600000001</v>
      </c>
      <c r="I35" s="10">
        <f>[22]PPE!$H$18/10^7</f>
        <v>6.1210402637297401</v>
      </c>
      <c r="J35" s="12">
        <v>3.3399999999999999E-2</v>
      </c>
      <c r="K35" s="10">
        <f t="shared" si="16"/>
        <v>6.2966006118648696</v>
      </c>
      <c r="L35" s="10">
        <f t="shared" si="17"/>
        <v>0.21030646043628665</v>
      </c>
    </row>
    <row r="36" spans="2:12" x14ac:dyDescent="0.3">
      <c r="B36" s="19">
        <v>5</v>
      </c>
      <c r="C36" s="1" t="s">
        <v>360</v>
      </c>
      <c r="H36" s="10">
        <f>[22]PPE!$J$10/10^7</f>
        <v>0.49912061600000002</v>
      </c>
      <c r="I36" s="10">
        <f>[22]PPE!$J$18/10^7</f>
        <v>0.49912061600000002</v>
      </c>
      <c r="J36" s="12">
        <v>5.28E-2</v>
      </c>
      <c r="K36" s="10">
        <f t="shared" si="16"/>
        <v>0.49912061600000002</v>
      </c>
      <c r="L36" s="10">
        <f t="shared" si="17"/>
        <v>2.6353568524799999E-2</v>
      </c>
    </row>
    <row r="37" spans="2:12" x14ac:dyDescent="0.3">
      <c r="B37" s="19">
        <v>6</v>
      </c>
      <c r="C37" s="1" t="s">
        <v>361</v>
      </c>
      <c r="H37" s="10">
        <f>[22]PPE!$I$10/10^7</f>
        <v>6.1273854940000003</v>
      </c>
      <c r="I37" s="10">
        <f>[22]PPE!$I$18/10^7</f>
        <v>7.8774461990000013</v>
      </c>
      <c r="J37" s="12">
        <v>3.3399999999999999E-2</v>
      </c>
      <c r="K37" s="10">
        <f t="shared" si="16"/>
        <v>7.0024158465000008</v>
      </c>
      <c r="L37" s="10">
        <f t="shared" si="17"/>
        <v>0.23388068927310002</v>
      </c>
    </row>
    <row r="38" spans="2:12" x14ac:dyDescent="0.3">
      <c r="B38" s="19">
        <v>7</v>
      </c>
      <c r="C38" s="1" t="s">
        <v>362</v>
      </c>
      <c r="H38" s="10">
        <f>[22]PPE!$L$10/10^7</f>
        <v>2165.2099963879996</v>
      </c>
      <c r="I38" s="10">
        <f>[22]PPE!$L$18/10^7</f>
        <v>2658.6078853379995</v>
      </c>
      <c r="J38" s="12">
        <v>5.28E-2</v>
      </c>
      <c r="K38" s="10">
        <f t="shared" si="16"/>
        <v>2411.9089408629998</v>
      </c>
      <c r="L38" s="10">
        <f t="shared" si="17"/>
        <v>127.34879207756639</v>
      </c>
    </row>
    <row r="39" spans="2:12" x14ac:dyDescent="0.3">
      <c r="B39" s="19">
        <v>8</v>
      </c>
      <c r="C39" s="1" t="s">
        <v>363</v>
      </c>
      <c r="H39" s="10">
        <f>[22]PPE!$K$10/10^7</f>
        <v>1911.0825518169997</v>
      </c>
      <c r="I39" s="10">
        <f>[22]PPE!$K$18/10^7</f>
        <v>1984.514600752</v>
      </c>
      <c r="J39" s="12">
        <v>5.28E-2</v>
      </c>
      <c r="K39" s="10">
        <f t="shared" si="16"/>
        <v>1947.7985762844999</v>
      </c>
      <c r="L39" s="10">
        <f t="shared" si="17"/>
        <v>102.84376482782159</v>
      </c>
    </row>
    <row r="40" spans="2:12" x14ac:dyDescent="0.3">
      <c r="B40" s="19">
        <v>9</v>
      </c>
      <c r="C40" s="1" t="s">
        <v>364</v>
      </c>
      <c r="H40" s="10">
        <f>[22]PPE!$M$10/10^7</f>
        <v>2.4221029019999998</v>
      </c>
      <c r="I40" s="10">
        <f>[22]PPE!$M$18/10^7</f>
        <v>2.4381863379999995</v>
      </c>
      <c r="J40" s="12">
        <v>6.3299999999999995E-2</v>
      </c>
      <c r="K40" s="10">
        <f t="shared" si="16"/>
        <v>2.4301446199999996</v>
      </c>
      <c r="L40" s="10">
        <f t="shared" si="17"/>
        <v>0.15382815444599995</v>
      </c>
    </row>
    <row r="41" spans="2:12" x14ac:dyDescent="0.3">
      <c r="B41" s="19">
        <v>10</v>
      </c>
      <c r="C41" s="1" t="s">
        <v>365</v>
      </c>
      <c r="H41" s="10">
        <f>[22]PPE!$N$10/10^7</f>
        <v>1.8250912429999999</v>
      </c>
      <c r="I41" s="10">
        <f>[22]PPE!$N$18/10^7</f>
        <v>2.0455711320000001</v>
      </c>
      <c r="J41" s="12">
        <v>6.3299999999999995E-2</v>
      </c>
      <c r="K41" s="10">
        <f t="shared" si="16"/>
        <v>1.9353311875000001</v>
      </c>
      <c r="L41" s="10">
        <f t="shared" si="17"/>
        <v>0.12250646416875</v>
      </c>
    </row>
    <row r="42" spans="2:12" x14ac:dyDescent="0.3">
      <c r="B42" s="19">
        <v>11</v>
      </c>
      <c r="C42" s="1" t="s">
        <v>366</v>
      </c>
      <c r="H42" s="10">
        <f>[22]PPE!$O$10/10^7</f>
        <v>1.1304342000000001</v>
      </c>
      <c r="I42" s="10">
        <f>[22]PPE!$O$18/10^7</f>
        <v>1.1304342000000001</v>
      </c>
      <c r="J42" s="12">
        <v>9.5000000000000001E-2</v>
      </c>
      <c r="K42" s="10">
        <f t="shared" si="16"/>
        <v>1.1304342000000001</v>
      </c>
      <c r="L42" s="10">
        <f t="shared" si="17"/>
        <v>0.10739124900000001</v>
      </c>
    </row>
    <row r="43" spans="2:12" x14ac:dyDescent="0.3">
      <c r="B43" s="19">
        <v>12</v>
      </c>
      <c r="C43" s="1" t="s">
        <v>367</v>
      </c>
      <c r="H43" s="10"/>
      <c r="I43" s="10"/>
      <c r="J43" s="12">
        <v>5.28E-2</v>
      </c>
      <c r="K43" s="10"/>
      <c r="L43" s="10">
        <f t="shared" si="17"/>
        <v>0</v>
      </c>
    </row>
    <row r="44" spans="2:12" x14ac:dyDescent="0.3">
      <c r="B44" s="19">
        <v>13</v>
      </c>
      <c r="C44" s="1" t="s">
        <v>368</v>
      </c>
      <c r="H44" s="10">
        <f>[22]PPE!$P$10/10^7</f>
        <v>6.3766457899999995</v>
      </c>
      <c r="I44" s="10">
        <f>[22]PPE!$P$18/10^7</f>
        <v>6.4207757899999995</v>
      </c>
      <c r="J44" s="12">
        <v>6.3299999999999995E-2</v>
      </c>
      <c r="K44" s="10">
        <f t="shared" si="16"/>
        <v>6.3987107899999991</v>
      </c>
      <c r="L44" s="10">
        <f t="shared" si="17"/>
        <v>0.4050383930069999</v>
      </c>
    </row>
    <row r="45" spans="2:12" ht="14.4" thickBot="1" x14ac:dyDescent="0.35">
      <c r="B45" s="19"/>
      <c r="K45" s="10"/>
      <c r="L45" s="10"/>
    </row>
    <row r="46" spans="2:12" ht="14.4" thickBot="1" x14ac:dyDescent="0.35">
      <c r="B46" s="14" t="s">
        <v>369</v>
      </c>
      <c r="C46" s="18" t="s">
        <v>98</v>
      </c>
      <c r="D46" s="18"/>
      <c r="E46" s="18"/>
      <c r="F46" s="18"/>
      <c r="G46" s="18"/>
      <c r="H46" s="38">
        <f t="shared" ref="H46:L46" si="18">H28+H31</f>
        <v>4147.3742393460006</v>
      </c>
      <c r="I46" s="38">
        <f t="shared" si="18"/>
        <v>4715.2760774997305</v>
      </c>
      <c r="J46" s="18"/>
      <c r="K46" s="16">
        <f t="shared" si="18"/>
        <v>4431.3251584228656</v>
      </c>
      <c r="L46" s="16">
        <f t="shared" si="18"/>
        <v>232.97467568763699</v>
      </c>
    </row>
    <row r="47" spans="2:12" ht="14.4" thickBot="1" x14ac:dyDescent="0.35">
      <c r="B47" s="19"/>
    </row>
    <row r="48" spans="2:12" ht="14.4" thickBot="1" x14ac:dyDescent="0.35">
      <c r="B48" s="14" t="s">
        <v>233</v>
      </c>
      <c r="C48" s="18" t="s">
        <v>370</v>
      </c>
      <c r="D48" s="18"/>
      <c r="E48" s="18"/>
      <c r="F48" s="18"/>
      <c r="G48" s="18"/>
      <c r="H48" s="38"/>
      <c r="I48" s="38"/>
      <c r="J48" s="18"/>
      <c r="K48" s="18"/>
      <c r="L48" s="34">
        <f>L46/K46</f>
        <v>5.2574493488659731E-2</v>
      </c>
    </row>
    <row r="50" spans="2:12" ht="14.4" x14ac:dyDescent="0.3">
      <c r="C50" s="265" t="s">
        <v>371</v>
      </c>
      <c r="I50" s="264">
        <f>I46-H46</f>
        <v>567.90183815372984</v>
      </c>
    </row>
    <row r="52" spans="2:12" x14ac:dyDescent="0.3">
      <c r="B52" s="582" t="s">
        <v>1</v>
      </c>
      <c r="C52" s="582" t="s">
        <v>2</v>
      </c>
      <c r="D52" s="197"/>
      <c r="E52" s="197"/>
      <c r="F52" s="197"/>
      <c r="G52" s="197"/>
      <c r="H52" s="582" t="s">
        <v>349</v>
      </c>
      <c r="I52" s="582"/>
      <c r="J52" s="609" t="s">
        <v>350</v>
      </c>
      <c r="K52" s="197" t="s">
        <v>351</v>
      </c>
      <c r="L52" s="197" t="s">
        <v>352</v>
      </c>
    </row>
    <row r="53" spans="2:12" ht="14.4" thickBot="1" x14ac:dyDescent="0.35">
      <c r="B53" s="590"/>
      <c r="C53" s="590"/>
      <c r="D53" s="13"/>
      <c r="E53" s="13"/>
      <c r="F53" s="13"/>
      <c r="G53" s="13"/>
      <c r="H53" s="13" t="s">
        <v>26</v>
      </c>
      <c r="I53" s="13" t="s">
        <v>27</v>
      </c>
      <c r="J53" s="604"/>
      <c r="K53" s="13" t="s">
        <v>26</v>
      </c>
      <c r="L53" s="13" t="s">
        <v>26</v>
      </c>
    </row>
    <row r="54" spans="2:12" x14ac:dyDescent="0.3">
      <c r="B54" s="48"/>
      <c r="C54" s="48"/>
      <c r="D54" s="48"/>
      <c r="E54" s="48"/>
      <c r="F54" s="48"/>
      <c r="G54" s="48"/>
      <c r="H54" s="49"/>
      <c r="I54" s="49"/>
      <c r="J54" s="28"/>
      <c r="K54" s="28"/>
      <c r="L54" s="28"/>
    </row>
    <row r="55" spans="2:12" x14ac:dyDescent="0.3">
      <c r="B55" s="6" t="s">
        <v>228</v>
      </c>
      <c r="C55" s="8" t="s">
        <v>353</v>
      </c>
      <c r="D55" s="8"/>
      <c r="E55" s="8"/>
      <c r="F55" s="8"/>
      <c r="G55" s="8"/>
      <c r="H55" s="11">
        <f>H56</f>
        <v>0.28938036299999953</v>
      </c>
      <c r="I55" s="11">
        <f t="shared" ref="I55" si="19">I56</f>
        <v>0.28938036299999953</v>
      </c>
      <c r="J55" s="8"/>
      <c r="K55" s="11">
        <f t="shared" ref="K55:L55" si="20">K56</f>
        <v>0.28938036299999953</v>
      </c>
      <c r="L55" s="11">
        <f t="shared" si="20"/>
        <v>9.6653041241999832E-3</v>
      </c>
    </row>
    <row r="56" spans="2:12" x14ac:dyDescent="0.3">
      <c r="B56" s="19">
        <v>1</v>
      </c>
      <c r="C56" s="1" t="s">
        <v>354</v>
      </c>
      <c r="H56" s="10">
        <f>[23]PPE!$D$10/10^7</f>
        <v>0.28938036299999953</v>
      </c>
      <c r="I56" s="10">
        <f>[23]PPE!$D$18/10^7</f>
        <v>0.28938036299999953</v>
      </c>
      <c r="J56" s="12">
        <v>3.3399999999999999E-2</v>
      </c>
      <c r="K56" s="10">
        <f>AVERAGE(H56,I56)</f>
        <v>0.28938036299999953</v>
      </c>
      <c r="L56" s="10">
        <f>K56*$J56</f>
        <v>9.6653041241999832E-3</v>
      </c>
    </row>
    <row r="57" spans="2:12" x14ac:dyDescent="0.3">
      <c r="B57" s="19"/>
      <c r="H57" s="51"/>
      <c r="I57" s="10"/>
      <c r="J57" s="12"/>
      <c r="K57" s="10"/>
      <c r="L57" s="10"/>
    </row>
    <row r="58" spans="2:12" x14ac:dyDescent="0.3">
      <c r="B58" s="6" t="s">
        <v>229</v>
      </c>
      <c r="C58" s="8" t="s">
        <v>355</v>
      </c>
      <c r="D58" s="8"/>
      <c r="E58" s="8"/>
      <c r="F58" s="8"/>
      <c r="G58" s="8"/>
      <c r="H58" s="11">
        <f t="shared" ref="H58:I58" si="21">SUM(H59:H71)</f>
        <v>4714.9866971367301</v>
      </c>
      <c r="I58" s="11">
        <f t="shared" si="21"/>
        <v>5112.5395344197304</v>
      </c>
      <c r="J58" s="52"/>
      <c r="K58" s="11">
        <f t="shared" ref="K58:L58" si="22">SUM(K59:K71)</f>
        <v>4913.7631157782316</v>
      </c>
      <c r="L58" s="11">
        <f t="shared" si="22"/>
        <v>258.38131876065825</v>
      </c>
    </row>
    <row r="59" spans="2:12" x14ac:dyDescent="0.3">
      <c r="B59" s="19">
        <v>1</v>
      </c>
      <c r="C59" s="1" t="s">
        <v>356</v>
      </c>
      <c r="H59" s="10">
        <f>[23]PPE!$E$10/10^7</f>
        <v>0.331655757</v>
      </c>
      <c r="I59" s="10">
        <f>[23]PPE!$E$18/10^7</f>
        <v>0.331655757</v>
      </c>
      <c r="J59" s="12">
        <v>0</v>
      </c>
      <c r="K59" s="10">
        <f t="shared" ref="K59:K69" si="23">AVERAGE(H59,I59)</f>
        <v>0.331655757</v>
      </c>
      <c r="L59" s="10">
        <f t="shared" ref="L59:L71" si="24">K59*$J59</f>
        <v>0</v>
      </c>
    </row>
    <row r="60" spans="2:12" x14ac:dyDescent="0.3">
      <c r="B60" s="19">
        <v>2</v>
      </c>
      <c r="C60" s="1" t="s">
        <v>357</v>
      </c>
      <c r="H60" s="10">
        <f>[23]PPE!$F$10/10^7</f>
        <v>29.910224695000004</v>
      </c>
      <c r="I60" s="10">
        <f>[23]PPE!$F$18/10^7</f>
        <v>35.841148961000009</v>
      </c>
      <c r="J60" s="12">
        <v>3.3399999999999999E-2</v>
      </c>
      <c r="K60" s="10">
        <f t="shared" si="23"/>
        <v>32.875686828000006</v>
      </c>
      <c r="L60" s="10">
        <f t="shared" si="24"/>
        <v>1.0980479400552001</v>
      </c>
    </row>
    <row r="61" spans="2:12" x14ac:dyDescent="0.3">
      <c r="B61" s="19">
        <v>3</v>
      </c>
      <c r="C61" s="1" t="s">
        <v>358</v>
      </c>
      <c r="H61" s="10">
        <f>[23]PPE!$G$10/10^7</f>
        <v>15.089756055999997</v>
      </c>
      <c r="I61" s="10">
        <f>[23]PPE!$G$18/10^7</f>
        <v>15.905446691999998</v>
      </c>
      <c r="J61" s="12">
        <v>3.3399999999999999E-2</v>
      </c>
      <c r="K61" s="10">
        <f t="shared" si="23"/>
        <v>15.497601373999998</v>
      </c>
      <c r="L61" s="10">
        <f t="shared" si="24"/>
        <v>0.51761988589159991</v>
      </c>
    </row>
    <row r="62" spans="2:12" x14ac:dyDescent="0.3">
      <c r="B62" s="19">
        <v>4</v>
      </c>
      <c r="C62" s="1" t="s">
        <v>359</v>
      </c>
      <c r="H62" s="10">
        <f>[23]PPE!$H$10/10^7</f>
        <v>6.1210402637297401</v>
      </c>
      <c r="I62" s="10">
        <f>[23]PPE!$H$18/10^7</f>
        <v>6.1210402637297401</v>
      </c>
      <c r="J62" s="12">
        <v>3.3399999999999999E-2</v>
      </c>
      <c r="K62" s="10">
        <f t="shared" si="23"/>
        <v>6.1210402637297401</v>
      </c>
      <c r="L62" s="10">
        <f t="shared" si="24"/>
        <v>0.2044427448085733</v>
      </c>
    </row>
    <row r="63" spans="2:12" x14ac:dyDescent="0.3">
      <c r="B63" s="19">
        <v>5</v>
      </c>
      <c r="C63" s="1" t="s">
        <v>360</v>
      </c>
      <c r="H63" s="10">
        <f>[23]PPE!$J$10/10^7</f>
        <v>0.49912061600000002</v>
      </c>
      <c r="I63" s="10">
        <f>[23]PPE!$J$18/10^7</f>
        <v>0.56700541100000001</v>
      </c>
      <c r="J63" s="12">
        <v>5.28E-2</v>
      </c>
      <c r="K63" s="10">
        <f t="shared" si="23"/>
        <v>0.53306301350000007</v>
      </c>
      <c r="L63" s="10">
        <f t="shared" si="24"/>
        <v>2.8145727112800004E-2</v>
      </c>
    </row>
    <row r="64" spans="2:12" x14ac:dyDescent="0.3">
      <c r="B64" s="19">
        <v>6</v>
      </c>
      <c r="C64" s="1" t="s">
        <v>361</v>
      </c>
      <c r="H64" s="10">
        <f>[23]PPE!$I$10/10^7</f>
        <v>7.8774461990000013</v>
      </c>
      <c r="I64" s="10">
        <f>[23]PPE!$I$18/10^7</f>
        <v>9.2061939820000003</v>
      </c>
      <c r="J64" s="12">
        <v>3.3399999999999999E-2</v>
      </c>
      <c r="K64" s="10">
        <f t="shared" si="23"/>
        <v>8.5418200904999999</v>
      </c>
      <c r="L64" s="10">
        <f t="shared" si="24"/>
        <v>0.2852967910227</v>
      </c>
    </row>
    <row r="65" spans="2:12" x14ac:dyDescent="0.3">
      <c r="B65" s="19">
        <v>7</v>
      </c>
      <c r="C65" s="1" t="s">
        <v>362</v>
      </c>
      <c r="H65" s="10">
        <f>[23]PPE!$L$10/10^7</f>
        <v>2658.6078853379995</v>
      </c>
      <c r="I65" s="10">
        <f>[23]PPE!$L$18/10^7</f>
        <v>3034.8616982110002</v>
      </c>
      <c r="J65" s="12">
        <v>5.28E-2</v>
      </c>
      <c r="K65" s="10">
        <f t="shared" si="23"/>
        <v>2846.7347917745001</v>
      </c>
      <c r="L65" s="10">
        <f t="shared" si="24"/>
        <v>150.30759700569359</v>
      </c>
    </row>
    <row r="66" spans="2:12" x14ac:dyDescent="0.3">
      <c r="B66" s="19">
        <v>8</v>
      </c>
      <c r="C66" s="1" t="s">
        <v>363</v>
      </c>
      <c r="H66" s="10">
        <f>[23]PPE!$K$10/10^7</f>
        <v>1984.514600752</v>
      </c>
      <c r="I66" s="10">
        <f>[23]PPE!$K$18/10^7</f>
        <v>1995.225228909</v>
      </c>
      <c r="J66" s="12">
        <v>5.28E-2</v>
      </c>
      <c r="K66" s="10">
        <f t="shared" si="23"/>
        <v>1989.8699148305</v>
      </c>
      <c r="L66" s="10">
        <f t="shared" si="24"/>
        <v>105.0651315030504</v>
      </c>
    </row>
    <row r="67" spans="2:12" x14ac:dyDescent="0.3">
      <c r="B67" s="19">
        <v>9</v>
      </c>
      <c r="C67" s="1" t="s">
        <v>364</v>
      </c>
      <c r="H67" s="10">
        <f>[23]PPE!$M$10/10^7</f>
        <v>2.4381863379999995</v>
      </c>
      <c r="I67" s="10">
        <f>[23]PPE!$M$18/10^7</f>
        <v>2.6991379879999995</v>
      </c>
      <c r="J67" s="12">
        <v>6.3299999999999995E-2</v>
      </c>
      <c r="K67" s="10">
        <f t="shared" si="23"/>
        <v>2.5686621629999995</v>
      </c>
      <c r="L67" s="10">
        <f t="shared" si="24"/>
        <v>0.16259631491789994</v>
      </c>
    </row>
    <row r="68" spans="2:12" x14ac:dyDescent="0.3">
      <c r="B68" s="19">
        <v>10</v>
      </c>
      <c r="C68" s="1" t="s">
        <v>365</v>
      </c>
      <c r="H68" s="10">
        <f>[23]PPE!$N$10/10^7</f>
        <v>2.0455711320000001</v>
      </c>
      <c r="I68" s="10">
        <f>[23]PPE!$N$18/10^7</f>
        <v>2.3113870699999999</v>
      </c>
      <c r="J68" s="12">
        <v>6.3299999999999995E-2</v>
      </c>
      <c r="K68" s="10">
        <f t="shared" si="23"/>
        <v>2.1784791009999998</v>
      </c>
      <c r="L68" s="10">
        <f t="shared" si="24"/>
        <v>0.13789772709329998</v>
      </c>
    </row>
    <row r="69" spans="2:12" x14ac:dyDescent="0.3">
      <c r="B69" s="19">
        <v>11</v>
      </c>
      <c r="C69" s="1" t="s">
        <v>366</v>
      </c>
      <c r="H69" s="10">
        <f>[23]PPE!$O$10/10^7</f>
        <v>1.1304342000000001</v>
      </c>
      <c r="I69" s="10">
        <f>[23]PPE!$O$18/10^7</f>
        <v>1.1304342000000001</v>
      </c>
      <c r="J69" s="12">
        <v>9.5000000000000001E-2</v>
      </c>
      <c r="K69" s="10">
        <f t="shared" si="23"/>
        <v>1.1304342000000001</v>
      </c>
      <c r="L69" s="10">
        <f t="shared" si="24"/>
        <v>0.10739124900000001</v>
      </c>
    </row>
    <row r="70" spans="2:12" x14ac:dyDescent="0.3">
      <c r="B70" s="19">
        <v>12</v>
      </c>
      <c r="C70" s="1" t="s">
        <v>367</v>
      </c>
      <c r="H70" s="10"/>
      <c r="I70" s="10"/>
      <c r="J70" s="12">
        <v>5.28E-2</v>
      </c>
      <c r="K70" s="10"/>
      <c r="L70" s="10">
        <f t="shared" si="24"/>
        <v>0</v>
      </c>
    </row>
    <row r="71" spans="2:12" x14ac:dyDescent="0.3">
      <c r="B71" s="19">
        <v>13</v>
      </c>
      <c r="C71" s="1" t="s">
        <v>368</v>
      </c>
      <c r="H71" s="10">
        <f>[23]PPE!$P$10/10^7</f>
        <v>6.4207757899999995</v>
      </c>
      <c r="I71" s="10">
        <f>[23]PPE!$P$18/10^7</f>
        <v>8.3391569749999999</v>
      </c>
      <c r="J71" s="12">
        <v>6.3299999999999995E-2</v>
      </c>
      <c r="K71" s="10">
        <f t="shared" ref="K71" si="25">AVERAGE(H71,I71)</f>
        <v>7.3799663824999993</v>
      </c>
      <c r="L71" s="10">
        <f t="shared" si="24"/>
        <v>0.46715187201224989</v>
      </c>
    </row>
    <row r="72" spans="2:12" ht="14.4" thickBot="1" x14ac:dyDescent="0.35">
      <c r="B72" s="19"/>
      <c r="K72" s="10"/>
      <c r="L72" s="10"/>
    </row>
    <row r="73" spans="2:12" ht="14.4" thickBot="1" x14ac:dyDescent="0.35">
      <c r="B73" s="14" t="s">
        <v>369</v>
      </c>
      <c r="C73" s="18" t="s">
        <v>98</v>
      </c>
      <c r="D73" s="18"/>
      <c r="E73" s="18"/>
      <c r="F73" s="18"/>
      <c r="G73" s="18"/>
      <c r="H73" s="38">
        <f t="shared" ref="H73:I73" si="26">H55+H58</f>
        <v>4715.2760774997305</v>
      </c>
      <c r="I73" s="38">
        <f t="shared" si="26"/>
        <v>5112.8289147827309</v>
      </c>
      <c r="J73" s="18"/>
      <c r="K73" s="16">
        <f t="shared" ref="K73:L73" si="27">K55+K58</f>
        <v>4914.052496141232</v>
      </c>
      <c r="L73" s="16">
        <f t="shared" si="27"/>
        <v>258.39098406478246</v>
      </c>
    </row>
    <row r="74" spans="2:12" ht="14.4" thickBot="1" x14ac:dyDescent="0.35">
      <c r="B74" s="19"/>
    </row>
    <row r="75" spans="2:12" ht="14.4" thickBot="1" x14ac:dyDescent="0.35">
      <c r="B75" s="14" t="s">
        <v>233</v>
      </c>
      <c r="C75" s="18" t="s">
        <v>370</v>
      </c>
      <c r="D75" s="18"/>
      <c r="E75" s="18"/>
      <c r="F75" s="18"/>
      <c r="G75" s="18"/>
      <c r="H75" s="38"/>
      <c r="I75" s="38"/>
      <c r="J75" s="18"/>
      <c r="K75" s="18"/>
      <c r="L75" s="34">
        <f>L73/K73</f>
        <v>5.2582056106987948E-2</v>
      </c>
    </row>
    <row r="77" spans="2:12" ht="14.4" x14ac:dyDescent="0.3">
      <c r="C77" s="265" t="s">
        <v>371</v>
      </c>
      <c r="I77" s="264">
        <f>I73-H73</f>
        <v>397.55283728300037</v>
      </c>
    </row>
    <row r="79" spans="2:12" x14ac:dyDescent="0.3">
      <c r="B79" s="582" t="s">
        <v>1</v>
      </c>
      <c r="C79" s="582" t="s">
        <v>2</v>
      </c>
      <c r="D79" s="197"/>
      <c r="E79" s="197"/>
      <c r="F79" s="197"/>
      <c r="G79" s="197"/>
      <c r="H79" s="582" t="s">
        <v>349</v>
      </c>
      <c r="I79" s="582"/>
      <c r="J79" s="609" t="s">
        <v>350</v>
      </c>
      <c r="K79" s="197" t="s">
        <v>351</v>
      </c>
      <c r="L79" s="197" t="s">
        <v>352</v>
      </c>
    </row>
    <row r="80" spans="2:12" ht="14.4" thickBot="1" x14ac:dyDescent="0.35">
      <c r="B80" s="590"/>
      <c r="C80" s="590"/>
      <c r="D80" s="13"/>
      <c r="E80" s="13"/>
      <c r="F80" s="13"/>
      <c r="G80" s="13"/>
      <c r="H80" s="13" t="s">
        <v>27</v>
      </c>
      <c r="I80" s="13" t="s">
        <v>28</v>
      </c>
      <c r="J80" s="604"/>
      <c r="K80" s="13" t="s">
        <v>28</v>
      </c>
      <c r="L80" s="13" t="s">
        <v>28</v>
      </c>
    </row>
    <row r="81" spans="2:12" x14ac:dyDescent="0.3">
      <c r="B81" s="48"/>
      <c r="C81" s="48"/>
      <c r="D81" s="48"/>
      <c r="E81" s="48"/>
      <c r="F81" s="48"/>
      <c r="G81" s="48"/>
      <c r="H81" s="49"/>
      <c r="I81" s="49"/>
      <c r="J81" s="28"/>
      <c r="K81" s="28"/>
      <c r="L81" s="28"/>
    </row>
    <row r="82" spans="2:12" x14ac:dyDescent="0.3">
      <c r="B82" s="6" t="s">
        <v>228</v>
      </c>
      <c r="C82" s="8" t="s">
        <v>353</v>
      </c>
      <c r="D82" s="8"/>
      <c r="E82" s="8"/>
      <c r="F82" s="8"/>
      <c r="G82" s="8"/>
      <c r="H82" s="11">
        <f>H83</f>
        <v>0.28938036299999953</v>
      </c>
      <c r="I82" s="11">
        <f t="shared" ref="I82" si="28">I83</f>
        <v>0.28938036299999953</v>
      </c>
      <c r="J82" s="8"/>
      <c r="K82" s="11">
        <f t="shared" ref="K82:L82" si="29">K83</f>
        <v>0.28938036299999953</v>
      </c>
      <c r="L82" s="11">
        <f t="shared" si="29"/>
        <v>9.6653041241999832E-3</v>
      </c>
    </row>
    <row r="83" spans="2:12" x14ac:dyDescent="0.3">
      <c r="B83" s="19">
        <v>1</v>
      </c>
      <c r="C83" s="1" t="s">
        <v>354</v>
      </c>
      <c r="H83" s="10">
        <f>[24]PPE!$D$10/10^7</f>
        <v>0.28938036299999953</v>
      </c>
      <c r="I83" s="10">
        <f>[24]PPE!$D$18/10^7</f>
        <v>0.28938036299999953</v>
      </c>
      <c r="J83" s="12">
        <v>3.3399999999999999E-2</v>
      </c>
      <c r="K83" s="10">
        <f>AVERAGE(H83,I83)</f>
        <v>0.28938036299999953</v>
      </c>
      <c r="L83" s="10">
        <f>K83*$J83</f>
        <v>9.6653041241999832E-3</v>
      </c>
    </row>
    <row r="84" spans="2:12" x14ac:dyDescent="0.3">
      <c r="B84" s="19"/>
      <c r="H84" s="51"/>
      <c r="I84" s="10"/>
      <c r="J84" s="12"/>
      <c r="K84" s="10"/>
      <c r="L84" s="10"/>
    </row>
    <row r="85" spans="2:12" x14ac:dyDescent="0.3">
      <c r="B85" s="6" t="s">
        <v>229</v>
      </c>
      <c r="C85" s="8" t="s">
        <v>355</v>
      </c>
      <c r="D85" s="8"/>
      <c r="E85" s="8"/>
      <c r="F85" s="8"/>
      <c r="G85" s="8"/>
      <c r="H85" s="11">
        <f t="shared" ref="H85:I85" si="30">SUM(H86:H98)</f>
        <v>5112.5395344197304</v>
      </c>
      <c r="I85" s="11">
        <f t="shared" si="30"/>
        <v>5451.972931619729</v>
      </c>
      <c r="J85" s="52"/>
      <c r="K85" s="11">
        <f t="shared" ref="K85:L85" si="31">SUM(K86:K98)</f>
        <v>5282.2562330197297</v>
      </c>
      <c r="L85" s="11">
        <f t="shared" si="31"/>
        <v>277.75409675745271</v>
      </c>
    </row>
    <row r="86" spans="2:12" x14ac:dyDescent="0.3">
      <c r="B86" s="19">
        <v>1</v>
      </c>
      <c r="C86" s="1" t="s">
        <v>356</v>
      </c>
      <c r="H86" s="10">
        <f>[24]PPE!$E$10/10^7</f>
        <v>0.331655757</v>
      </c>
      <c r="I86" s="10">
        <f>[24]PPE!$E$18/10^7</f>
        <v>0.331655757</v>
      </c>
      <c r="J86" s="12">
        <v>0</v>
      </c>
      <c r="K86" s="10">
        <f t="shared" ref="K86:K96" si="32">AVERAGE(H86,I86)</f>
        <v>0.331655757</v>
      </c>
      <c r="L86" s="10">
        <f t="shared" ref="L86:L98" si="33">K86*$J86</f>
        <v>0</v>
      </c>
    </row>
    <row r="87" spans="2:12" x14ac:dyDescent="0.3">
      <c r="B87" s="19">
        <v>2</v>
      </c>
      <c r="C87" s="1" t="s">
        <v>357</v>
      </c>
      <c r="H87" s="10">
        <f>[24]PPE!$F$10/10^7</f>
        <v>35.841148961000009</v>
      </c>
      <c r="I87" s="10">
        <f>[24]PPE!$F$18/10^7</f>
        <v>36.544247128000009</v>
      </c>
      <c r="J87" s="12">
        <v>3.3399999999999999E-2</v>
      </c>
      <c r="K87" s="10">
        <f t="shared" si="32"/>
        <v>36.192698044500005</v>
      </c>
      <c r="L87" s="10">
        <f t="shared" si="33"/>
        <v>1.2088361146863003</v>
      </c>
    </row>
    <row r="88" spans="2:12" x14ac:dyDescent="0.3">
      <c r="B88" s="19">
        <v>3</v>
      </c>
      <c r="C88" s="1" t="s">
        <v>358</v>
      </c>
      <c r="H88" s="10">
        <f>[24]PPE!$G$10/10^7</f>
        <v>15.905446691999998</v>
      </c>
      <c r="I88" s="10">
        <f>[24]PPE!$G$18/10^7</f>
        <v>17.113362657</v>
      </c>
      <c r="J88" s="12">
        <v>3.3399999999999999E-2</v>
      </c>
      <c r="K88" s="10">
        <f t="shared" si="32"/>
        <v>16.509404674499997</v>
      </c>
      <c r="L88" s="10">
        <f t="shared" si="33"/>
        <v>0.55141411612829994</v>
      </c>
    </row>
    <row r="89" spans="2:12" x14ac:dyDescent="0.3">
      <c r="B89" s="19">
        <v>4</v>
      </c>
      <c r="C89" s="1" t="s">
        <v>359</v>
      </c>
      <c r="H89" s="10">
        <f>[24]PPE!$H$10/10^7</f>
        <v>6.1210402637297401</v>
      </c>
      <c r="I89" s="10">
        <f>[24]PPE!$H$18/10^7</f>
        <v>6.1359133127297403</v>
      </c>
      <c r="J89" s="12">
        <v>3.3399999999999999E-2</v>
      </c>
      <c r="K89" s="10">
        <f t="shared" si="32"/>
        <v>6.1284767882297402</v>
      </c>
      <c r="L89" s="10">
        <f t="shared" si="33"/>
        <v>0.20469112472687331</v>
      </c>
    </row>
    <row r="90" spans="2:12" x14ac:dyDescent="0.3">
      <c r="B90" s="19">
        <v>5</v>
      </c>
      <c r="C90" s="1" t="s">
        <v>360</v>
      </c>
      <c r="H90" s="10">
        <f>[24]PPE!$J$10/10^7</f>
        <v>0.56700541100000001</v>
      </c>
      <c r="I90" s="10">
        <f>[24]PPE!$J$18/10^7</f>
        <v>0.9999533129999999</v>
      </c>
      <c r="J90" s="12">
        <v>5.28E-2</v>
      </c>
      <c r="K90" s="10">
        <f t="shared" si="32"/>
        <v>0.78347936200000001</v>
      </c>
      <c r="L90" s="10">
        <f t="shared" si="33"/>
        <v>4.1367710313600002E-2</v>
      </c>
    </row>
    <row r="91" spans="2:12" x14ac:dyDescent="0.3">
      <c r="B91" s="19">
        <v>6</v>
      </c>
      <c r="C91" s="1" t="s">
        <v>361</v>
      </c>
      <c r="H91" s="10">
        <f>[24]PPE!$I$10/10^7</f>
        <v>9.2061939820000003</v>
      </c>
      <c r="I91" s="10">
        <f>[24]PPE!$I$18/10^7</f>
        <v>9.4358779850000012</v>
      </c>
      <c r="J91" s="12">
        <v>3.3399999999999999E-2</v>
      </c>
      <c r="K91" s="10">
        <f t="shared" si="32"/>
        <v>9.3210359834999998</v>
      </c>
      <c r="L91" s="10">
        <f t="shared" si="33"/>
        <v>0.31132260184889998</v>
      </c>
    </row>
    <row r="92" spans="2:12" x14ac:dyDescent="0.3">
      <c r="B92" s="19">
        <v>7</v>
      </c>
      <c r="C92" s="1" t="s">
        <v>362</v>
      </c>
      <c r="H92" s="10">
        <f>[24]PPE!$L$10/10^7</f>
        <v>3034.8616982110002</v>
      </c>
      <c r="I92" s="10">
        <f>[24]PPE!$L$18/10^7</f>
        <v>3305.1335960060001</v>
      </c>
      <c r="J92" s="12">
        <v>5.28E-2</v>
      </c>
      <c r="K92" s="10">
        <f t="shared" si="32"/>
        <v>3169.9976471085001</v>
      </c>
      <c r="L92" s="10">
        <f t="shared" si="33"/>
        <v>167.37587576732881</v>
      </c>
    </row>
    <row r="93" spans="2:12" x14ac:dyDescent="0.3">
      <c r="B93" s="19">
        <v>8</v>
      </c>
      <c r="C93" s="1" t="s">
        <v>363</v>
      </c>
      <c r="H93" s="10">
        <f>[24]PPE!$K$10/10^7</f>
        <v>1995.225228909</v>
      </c>
      <c r="I93" s="10">
        <f>[24]PPE!$K$18/10^7</f>
        <v>2061.2754599109999</v>
      </c>
      <c r="J93" s="12">
        <v>5.28E-2</v>
      </c>
      <c r="K93" s="10">
        <f t="shared" si="32"/>
        <v>2028.2503444099998</v>
      </c>
      <c r="L93" s="10">
        <f t="shared" si="33"/>
        <v>107.09161818484799</v>
      </c>
    </row>
    <row r="94" spans="2:12" x14ac:dyDescent="0.3">
      <c r="B94" s="19">
        <v>9</v>
      </c>
      <c r="C94" s="1" t="s">
        <v>364</v>
      </c>
      <c r="H94" s="10">
        <f>[24]PPE!$M$10/10^7</f>
        <v>2.6991379879999995</v>
      </c>
      <c r="I94" s="10">
        <f>[24]PPE!$M$18/10^7</f>
        <v>2.7408006759999992</v>
      </c>
      <c r="J94" s="12">
        <v>6.3299999999999995E-2</v>
      </c>
      <c r="K94" s="10">
        <f t="shared" si="32"/>
        <v>2.7199693319999994</v>
      </c>
      <c r="L94" s="10">
        <f t="shared" si="33"/>
        <v>0.17217405871559996</v>
      </c>
    </row>
    <row r="95" spans="2:12" x14ac:dyDescent="0.3">
      <c r="B95" s="19">
        <v>10</v>
      </c>
      <c r="C95" s="1" t="s">
        <v>365</v>
      </c>
      <c r="H95" s="10">
        <f>[24]PPE!$N$10/10^7</f>
        <v>2.3113870699999999</v>
      </c>
      <c r="I95" s="10">
        <f>[24]PPE!$N$18/10^7</f>
        <v>2.6431060139999998</v>
      </c>
      <c r="J95" s="12">
        <v>6.3299999999999995E-2</v>
      </c>
      <c r="K95" s="10">
        <f t="shared" si="32"/>
        <v>2.4772465419999996</v>
      </c>
      <c r="L95" s="10">
        <f t="shared" si="33"/>
        <v>0.15680970610859996</v>
      </c>
    </row>
    <row r="96" spans="2:12" x14ac:dyDescent="0.3">
      <c r="B96" s="19">
        <v>11</v>
      </c>
      <c r="C96" s="1" t="s">
        <v>366</v>
      </c>
      <c r="H96" s="10">
        <f>[24]PPE!$O$10/10^7</f>
        <v>1.1304342000000001</v>
      </c>
      <c r="I96" s="10">
        <f>[24]PPE!$O$18/10^7</f>
        <v>1.1304342000000001</v>
      </c>
      <c r="J96" s="12">
        <v>9.5000000000000001E-2</v>
      </c>
      <c r="K96" s="10">
        <f t="shared" si="32"/>
        <v>1.1304342000000001</v>
      </c>
      <c r="L96" s="10">
        <f t="shared" si="33"/>
        <v>0.10739124900000001</v>
      </c>
    </row>
    <row r="97" spans="2:12" x14ac:dyDescent="0.3">
      <c r="B97" s="19">
        <v>12</v>
      </c>
      <c r="C97" s="1" t="s">
        <v>367</v>
      </c>
      <c r="H97" s="10"/>
      <c r="I97" s="10"/>
      <c r="J97" s="12">
        <v>5.28E-2</v>
      </c>
      <c r="K97" s="10"/>
      <c r="L97" s="10">
        <f t="shared" si="33"/>
        <v>0</v>
      </c>
    </row>
    <row r="98" spans="2:12" x14ac:dyDescent="0.3">
      <c r="B98" s="19">
        <v>13</v>
      </c>
      <c r="C98" s="1" t="s">
        <v>368</v>
      </c>
      <c r="H98" s="10">
        <f>[24]PPE!$P$10/10^7</f>
        <v>8.3391569749999999</v>
      </c>
      <c r="I98" s="10">
        <f>[24]PPE!$P$18/10^7</f>
        <v>8.4885246599999995</v>
      </c>
      <c r="J98" s="12">
        <v>6.3299999999999995E-2</v>
      </c>
      <c r="K98" s="10">
        <f t="shared" ref="K98" si="34">AVERAGE(H98,I98)</f>
        <v>8.4138408174999988</v>
      </c>
      <c r="L98" s="10">
        <f t="shared" si="33"/>
        <v>0.53259612374774989</v>
      </c>
    </row>
    <row r="99" spans="2:12" ht="14.4" thickBot="1" x14ac:dyDescent="0.35">
      <c r="B99" s="19"/>
      <c r="K99" s="10"/>
      <c r="L99" s="10"/>
    </row>
    <row r="100" spans="2:12" ht="14.4" thickBot="1" x14ac:dyDescent="0.35">
      <c r="B100" s="14" t="s">
        <v>369</v>
      </c>
      <c r="C100" s="18" t="s">
        <v>98</v>
      </c>
      <c r="D100" s="18"/>
      <c r="E100" s="18"/>
      <c r="F100" s="18"/>
      <c r="G100" s="18"/>
      <c r="H100" s="38">
        <f t="shared" ref="H100:I100" si="35">H82+H85</f>
        <v>5112.8289147827309</v>
      </c>
      <c r="I100" s="464">
        <f t="shared" si="35"/>
        <v>5452.2623119827294</v>
      </c>
      <c r="J100" s="18"/>
      <c r="K100" s="16">
        <f t="shared" ref="K100:L100" si="36">K82+K85</f>
        <v>5282.5456133827302</v>
      </c>
      <c r="L100" s="16">
        <f t="shared" si="36"/>
        <v>277.76376206157693</v>
      </c>
    </row>
    <row r="101" spans="2:12" ht="14.4" thickBot="1" x14ac:dyDescent="0.35">
      <c r="B101" s="19"/>
    </row>
    <row r="102" spans="2:12" ht="14.4" thickBot="1" x14ac:dyDescent="0.35">
      <c r="B102" s="14" t="s">
        <v>233</v>
      </c>
      <c r="C102" s="18" t="s">
        <v>370</v>
      </c>
      <c r="D102" s="18"/>
      <c r="E102" s="18"/>
      <c r="F102" s="18"/>
      <c r="G102" s="18"/>
      <c r="H102" s="38"/>
      <c r="I102" s="38"/>
      <c r="J102" s="18"/>
      <c r="K102" s="18"/>
      <c r="L102" s="34">
        <f>L100/K100</f>
        <v>5.2581422365363763E-2</v>
      </c>
    </row>
    <row r="104" spans="2:12" ht="14.4" x14ac:dyDescent="0.3">
      <c r="C104" s="265" t="s">
        <v>371</v>
      </c>
      <c r="I104" s="465">
        <f>I100-H100</f>
        <v>339.43339719999858</v>
      </c>
    </row>
    <row r="106" spans="2:12" ht="14.4" x14ac:dyDescent="0.3">
      <c r="C106" s="265" t="s">
        <v>371</v>
      </c>
      <c r="I106" s="264">
        <f>I102-H102</f>
        <v>0</v>
      </c>
    </row>
    <row r="108" spans="2:12" x14ac:dyDescent="0.3">
      <c r="B108" s="582" t="s">
        <v>1</v>
      </c>
      <c r="C108" s="582" t="s">
        <v>2</v>
      </c>
      <c r="D108" s="197"/>
      <c r="E108" s="197"/>
      <c r="F108" s="197"/>
      <c r="G108" s="197"/>
      <c r="H108" s="582" t="s">
        <v>349</v>
      </c>
      <c r="I108" s="582"/>
      <c r="J108" s="609" t="s">
        <v>350</v>
      </c>
      <c r="K108" s="197" t="s">
        <v>351</v>
      </c>
      <c r="L108" s="197" t="s">
        <v>352</v>
      </c>
    </row>
    <row r="109" spans="2:12" ht="14.4" thickBot="1" x14ac:dyDescent="0.35">
      <c r="B109" s="590"/>
      <c r="C109" s="590"/>
      <c r="D109" s="13"/>
      <c r="E109" s="13"/>
      <c r="F109" s="13"/>
      <c r="G109" s="13"/>
      <c r="H109" s="13" t="s">
        <v>28</v>
      </c>
      <c r="I109" s="13" t="s">
        <v>29</v>
      </c>
      <c r="J109" s="604"/>
      <c r="K109" s="13" t="s">
        <v>28</v>
      </c>
      <c r="L109" s="13" t="s">
        <v>28</v>
      </c>
    </row>
    <row r="110" spans="2:12" x14ac:dyDescent="0.3">
      <c r="B110" s="48"/>
      <c r="C110" s="48"/>
      <c r="D110" s="48"/>
      <c r="E110" s="48"/>
      <c r="F110" s="48"/>
      <c r="G110" s="48"/>
      <c r="H110" s="49"/>
      <c r="I110" s="49"/>
      <c r="J110" s="28"/>
      <c r="K110" s="28"/>
      <c r="L110" s="28"/>
    </row>
    <row r="111" spans="2:12" x14ac:dyDescent="0.3">
      <c r="B111" s="6" t="s">
        <v>228</v>
      </c>
      <c r="C111" s="8" t="s">
        <v>353</v>
      </c>
      <c r="D111" s="8"/>
      <c r="E111" s="8"/>
      <c r="F111" s="8"/>
      <c r="G111" s="8"/>
      <c r="H111" s="11">
        <f>H112</f>
        <v>0.28938036299999953</v>
      </c>
      <c r="I111" s="11">
        <f t="shared" ref="I111" si="37">I112</f>
        <v>0.28938036299999953</v>
      </c>
      <c r="J111" s="8"/>
      <c r="K111" s="11">
        <f t="shared" ref="K111:L111" si="38">K112</f>
        <v>0.28938036299999953</v>
      </c>
      <c r="L111" s="11">
        <f t="shared" si="38"/>
        <v>9.6653041241999832E-3</v>
      </c>
    </row>
    <row r="112" spans="2:12" x14ac:dyDescent="0.3">
      <c r="B112" s="19">
        <v>1</v>
      </c>
      <c r="C112" s="1" t="s">
        <v>354</v>
      </c>
      <c r="H112" s="10">
        <f>[25]PPE!$D$30/10^2</f>
        <v>0.28938036299999953</v>
      </c>
      <c r="I112" s="10">
        <f>[25]PPE!$D$38/10^2</f>
        <v>0.28938036299999953</v>
      </c>
      <c r="J112" s="12">
        <v>3.3399999999999999E-2</v>
      </c>
      <c r="K112" s="10">
        <f>AVERAGE(H112,I112)</f>
        <v>0.28938036299999953</v>
      </c>
      <c r="L112" s="10">
        <f>K112*$J112</f>
        <v>9.6653041241999832E-3</v>
      </c>
    </row>
    <row r="113" spans="2:12" x14ac:dyDescent="0.3">
      <c r="B113" s="19"/>
      <c r="H113" s="51"/>
      <c r="I113" s="10"/>
      <c r="J113" s="12"/>
      <c r="K113" s="10"/>
      <c r="L113" s="10"/>
    </row>
    <row r="114" spans="2:12" x14ac:dyDescent="0.3">
      <c r="B114" s="6" t="s">
        <v>229</v>
      </c>
      <c r="C114" s="8" t="s">
        <v>355</v>
      </c>
      <c r="D114" s="8"/>
      <c r="E114" s="8"/>
      <c r="F114" s="8"/>
      <c r="G114" s="8"/>
      <c r="H114" s="11">
        <f t="shared" ref="H114:I114" si="39">SUM(H115:H127)</f>
        <v>5451.9729316197308</v>
      </c>
      <c r="I114" s="11">
        <f t="shared" si="39"/>
        <v>5586.8857298087296</v>
      </c>
      <c r="J114" s="52"/>
      <c r="K114" s="11">
        <f t="shared" ref="K114:L114" si="40">SUM(K115:K127)</f>
        <v>5519.4293307142289</v>
      </c>
      <c r="L114" s="11">
        <f t="shared" si="40"/>
        <v>290.1883879598804</v>
      </c>
    </row>
    <row r="115" spans="2:12" x14ac:dyDescent="0.3">
      <c r="B115" s="19">
        <v>1</v>
      </c>
      <c r="C115" s="1" t="s">
        <v>356</v>
      </c>
      <c r="H115" s="10">
        <f>[25]PPE!$E$30/10^2</f>
        <v>0.331655757</v>
      </c>
      <c r="I115" s="10">
        <f>[25]PPE!$E$38/10^2</f>
        <v>0.331655757</v>
      </c>
      <c r="J115" s="12">
        <v>0</v>
      </c>
      <c r="K115" s="10">
        <f t="shared" ref="K115:K125" si="41">AVERAGE(H115,I115)</f>
        <v>0.331655757</v>
      </c>
      <c r="L115" s="10">
        <f t="shared" ref="L115:L127" si="42">K115*$J115</f>
        <v>0</v>
      </c>
    </row>
    <row r="116" spans="2:12" x14ac:dyDescent="0.3">
      <c r="B116" s="19">
        <v>2</v>
      </c>
      <c r="C116" s="1" t="s">
        <v>357</v>
      </c>
      <c r="H116" s="10">
        <f>[25]PPE!$F$30/10^2</f>
        <v>36.544247128000009</v>
      </c>
      <c r="I116" s="10">
        <f>[25]PPE!$F$38/10^2</f>
        <v>37.481393961999999</v>
      </c>
      <c r="J116" s="12">
        <v>3.3399999999999999E-2</v>
      </c>
      <c r="K116" s="10">
        <f t="shared" si="41"/>
        <v>37.012820545000004</v>
      </c>
      <c r="L116" s="10">
        <f t="shared" si="42"/>
        <v>1.2362282062030001</v>
      </c>
    </row>
    <row r="117" spans="2:12" x14ac:dyDescent="0.3">
      <c r="B117" s="19">
        <v>3</v>
      </c>
      <c r="C117" s="1" t="s">
        <v>358</v>
      </c>
      <c r="H117" s="10">
        <f>[25]PPE!$G$30/10^2</f>
        <v>17.113362657</v>
      </c>
      <c r="I117" s="10">
        <f>[25]PPE!$G$38/10^2</f>
        <v>21.006356996999997</v>
      </c>
      <c r="J117" s="12">
        <v>3.3399999999999999E-2</v>
      </c>
      <c r="K117" s="10">
        <f t="shared" si="41"/>
        <v>19.059859826999997</v>
      </c>
      <c r="L117" s="10">
        <f t="shared" si="42"/>
        <v>0.63659931822179983</v>
      </c>
    </row>
    <row r="118" spans="2:12" x14ac:dyDescent="0.3">
      <c r="B118" s="19">
        <v>4</v>
      </c>
      <c r="C118" s="1" t="s">
        <v>359</v>
      </c>
      <c r="H118" s="10">
        <f>[25]PPE!$H$30/10^2</f>
        <v>6.1359133127297403</v>
      </c>
      <c r="I118" s="10">
        <f>[25]PPE!$H$38/10^2</f>
        <v>7.2143117207297403</v>
      </c>
      <c r="J118" s="12">
        <v>3.3399999999999999E-2</v>
      </c>
      <c r="K118" s="10">
        <f t="shared" si="41"/>
        <v>6.6751125167297403</v>
      </c>
      <c r="L118" s="10">
        <f t="shared" si="42"/>
        <v>0.22294875805877332</v>
      </c>
    </row>
    <row r="119" spans="2:12" x14ac:dyDescent="0.3">
      <c r="B119" s="19">
        <v>5</v>
      </c>
      <c r="C119" s="1" t="s">
        <v>360</v>
      </c>
      <c r="H119" s="10">
        <f>[25]PPE!$J$30/10^2</f>
        <v>0.9999533129999999</v>
      </c>
      <c r="I119" s="10">
        <f>[25]PPE!$J$38/10^2</f>
        <v>1.2016811549999999</v>
      </c>
      <c r="J119" s="12">
        <v>5.28E-2</v>
      </c>
      <c r="K119" s="10">
        <f t="shared" si="41"/>
        <v>1.100817234</v>
      </c>
      <c r="L119" s="10">
        <f t="shared" si="42"/>
        <v>5.8123149955200001E-2</v>
      </c>
    </row>
    <row r="120" spans="2:12" x14ac:dyDescent="0.3">
      <c r="B120" s="19">
        <v>6</v>
      </c>
      <c r="C120" s="1" t="s">
        <v>361</v>
      </c>
      <c r="H120" s="10">
        <f>[25]PPE!$I$30/10^2</f>
        <v>9.4358779850000012</v>
      </c>
      <c r="I120" s="10">
        <f>[25]PPE!$I$38/10^2</f>
        <v>11.111806897000001</v>
      </c>
      <c r="J120" s="12">
        <v>3.3399999999999999E-2</v>
      </c>
      <c r="K120" s="10">
        <f t="shared" si="41"/>
        <v>10.273842441000001</v>
      </c>
      <c r="L120" s="10">
        <f t="shared" si="42"/>
        <v>0.34314633752940005</v>
      </c>
    </row>
    <row r="121" spans="2:12" x14ac:dyDescent="0.3">
      <c r="B121" s="19">
        <v>7</v>
      </c>
      <c r="C121" s="1" t="s">
        <v>362</v>
      </c>
      <c r="H121" s="10">
        <f>[25]PPE!$L$30/10^2</f>
        <v>3305.1335960060005</v>
      </c>
      <c r="I121" s="10">
        <f>[25]PPE!$L$38/10^2</f>
        <v>3419.1952155549993</v>
      </c>
      <c r="J121" s="12">
        <v>5.28E-2</v>
      </c>
      <c r="K121" s="10">
        <f t="shared" si="41"/>
        <v>3362.1644057804997</v>
      </c>
      <c r="L121" s="10">
        <f t="shared" si="42"/>
        <v>177.52228062521039</v>
      </c>
    </row>
    <row r="122" spans="2:12" x14ac:dyDescent="0.3">
      <c r="B122" s="19">
        <v>8</v>
      </c>
      <c r="C122" s="1" t="s">
        <v>363</v>
      </c>
      <c r="H122" s="10">
        <f>[25]PPE!$K$30/10^2</f>
        <v>2061.2754599109999</v>
      </c>
      <c r="I122" s="10">
        <f>[25]PPE!$K$38/10^2</f>
        <v>2073.7146145729998</v>
      </c>
      <c r="J122" s="12">
        <v>5.28E-2</v>
      </c>
      <c r="K122" s="10">
        <f t="shared" si="41"/>
        <v>2067.4950372419999</v>
      </c>
      <c r="L122" s="10">
        <f t="shared" si="42"/>
        <v>109.1637379663776</v>
      </c>
    </row>
    <row r="123" spans="2:12" x14ac:dyDescent="0.3">
      <c r="B123" s="19">
        <v>9</v>
      </c>
      <c r="C123" s="1" t="s">
        <v>364</v>
      </c>
      <c r="H123" s="10">
        <f>[25]PPE!$M$30/10^2</f>
        <v>2.7408006759999997</v>
      </c>
      <c r="I123" s="10">
        <f>[25]PPE!$M$38/10^2</f>
        <v>2.9297214209999991</v>
      </c>
      <c r="J123" s="12">
        <v>6.3299999999999995E-2</v>
      </c>
      <c r="K123" s="10">
        <f t="shared" si="41"/>
        <v>2.8352610484999996</v>
      </c>
      <c r="L123" s="10">
        <f t="shared" si="42"/>
        <v>0.17947202437004997</v>
      </c>
    </row>
    <row r="124" spans="2:12" x14ac:dyDescent="0.3">
      <c r="B124" s="19">
        <v>10</v>
      </c>
      <c r="C124" s="1" t="s">
        <v>365</v>
      </c>
      <c r="H124" s="10">
        <f>[25]PPE!$N$30/10^2</f>
        <v>2.6431060139999998</v>
      </c>
      <c r="I124" s="10">
        <f>[25]PPE!$N$38/10^2</f>
        <v>2.9859030009999996</v>
      </c>
      <c r="J124" s="12">
        <v>6.3299999999999995E-2</v>
      </c>
      <c r="K124" s="10">
        <f t="shared" si="41"/>
        <v>2.8145045074999997</v>
      </c>
      <c r="L124" s="10">
        <f t="shared" si="42"/>
        <v>0.17815813532474997</v>
      </c>
    </row>
    <row r="125" spans="2:12" x14ac:dyDescent="0.3">
      <c r="B125" s="19">
        <v>11</v>
      </c>
      <c r="C125" s="1" t="s">
        <v>366</v>
      </c>
      <c r="H125" s="10">
        <f>[25]PPE!$O$30/10^2</f>
        <v>1.1304342000000001</v>
      </c>
      <c r="I125" s="10">
        <f>[25]PPE!$O$38/10^2</f>
        <v>1.1304342000000001</v>
      </c>
      <c r="J125" s="12">
        <v>9.5000000000000001E-2</v>
      </c>
      <c r="K125" s="10">
        <f t="shared" si="41"/>
        <v>1.1304342000000001</v>
      </c>
      <c r="L125" s="10">
        <f t="shared" si="42"/>
        <v>0.10739124900000001</v>
      </c>
    </row>
    <row r="126" spans="2:12" x14ac:dyDescent="0.3">
      <c r="B126" s="19">
        <v>12</v>
      </c>
      <c r="C126" s="1" t="s">
        <v>367</v>
      </c>
      <c r="H126" s="10"/>
      <c r="I126" s="10"/>
      <c r="J126" s="12">
        <v>5.28E-2</v>
      </c>
      <c r="K126" s="10"/>
      <c r="L126" s="10">
        <f t="shared" si="42"/>
        <v>0</v>
      </c>
    </row>
    <row r="127" spans="2:12" x14ac:dyDescent="0.3">
      <c r="B127" s="19">
        <v>13</v>
      </c>
      <c r="C127" s="1" t="s">
        <v>368</v>
      </c>
      <c r="H127" s="10">
        <f>[25]PPE!$P$30/10^2</f>
        <v>8.4885246599999995</v>
      </c>
      <c r="I127" s="10">
        <f>[25]PPE!$P$38/10^2</f>
        <v>8.5826345699999997</v>
      </c>
      <c r="J127" s="12">
        <v>6.3299999999999995E-2</v>
      </c>
      <c r="K127" s="10">
        <f t="shared" ref="K127" si="43">AVERAGE(H127,I127)</f>
        <v>8.5355796149999996</v>
      </c>
      <c r="L127" s="10">
        <f t="shared" si="42"/>
        <v>0.54030218962949994</v>
      </c>
    </row>
    <row r="128" spans="2:12" ht="14.4" thickBot="1" x14ac:dyDescent="0.35">
      <c r="B128" s="19"/>
      <c r="K128" s="10"/>
      <c r="L128" s="10"/>
    </row>
    <row r="129" spans="2:12" ht="14.4" thickBot="1" x14ac:dyDescent="0.35">
      <c r="B129" s="14" t="s">
        <v>369</v>
      </c>
      <c r="C129" s="18" t="s">
        <v>98</v>
      </c>
      <c r="D129" s="18"/>
      <c r="E129" s="18"/>
      <c r="F129" s="18"/>
      <c r="G129" s="18"/>
      <c r="H129" s="38">
        <f t="shared" ref="H129:I129" si="44">H111+H114</f>
        <v>5452.2623119827313</v>
      </c>
      <c r="I129" s="464">
        <f t="shared" si="44"/>
        <v>5587.17511017173</v>
      </c>
      <c r="J129" s="18"/>
      <c r="K129" s="16">
        <f t="shared" ref="K129:L129" si="45">K111+K114</f>
        <v>5519.7187110772293</v>
      </c>
      <c r="L129" s="16">
        <f t="shared" si="45"/>
        <v>290.19805326400461</v>
      </c>
    </row>
    <row r="130" spans="2:12" ht="14.4" thickBot="1" x14ac:dyDescent="0.35">
      <c r="B130" s="19"/>
    </row>
    <row r="131" spans="2:12" ht="14.4" thickBot="1" x14ac:dyDescent="0.35">
      <c r="B131" s="14" t="s">
        <v>233</v>
      </c>
      <c r="C131" s="18" t="s">
        <v>370</v>
      </c>
      <c r="D131" s="18"/>
      <c r="E131" s="18"/>
      <c r="F131" s="18"/>
      <c r="G131" s="18"/>
      <c r="H131" s="38"/>
      <c r="I131" s="38"/>
      <c r="J131" s="18"/>
      <c r="K131" s="18"/>
      <c r="L131" s="34">
        <f>L129/K129</f>
        <v>5.2574790211976127E-2</v>
      </c>
    </row>
    <row r="133" spans="2:12" ht="14.4" x14ac:dyDescent="0.3">
      <c r="C133" s="265" t="s">
        <v>371</v>
      </c>
      <c r="I133" s="465">
        <f>I129-H129</f>
        <v>134.91279818899875</v>
      </c>
    </row>
    <row r="135" spans="2:12" x14ac:dyDescent="0.3">
      <c r="I135" s="1" t="b">
        <f>IF(I133=([25]PPE!$Q$31/10^2),TRUE,FALSE)</f>
        <v>1</v>
      </c>
    </row>
  </sheetData>
  <mergeCells count="24">
    <mergeCell ref="N6:O6"/>
    <mergeCell ref="B108:B109"/>
    <mergeCell ref="C108:C109"/>
    <mergeCell ref="H108:I108"/>
    <mergeCell ref="J108:J109"/>
    <mergeCell ref="L6:M6"/>
    <mergeCell ref="B79:B80"/>
    <mergeCell ref="C79:C80"/>
    <mergeCell ref="H79:I79"/>
    <mergeCell ref="J79:J80"/>
    <mergeCell ref="B52:B53"/>
    <mergeCell ref="C52:C53"/>
    <mergeCell ref="H52:I52"/>
    <mergeCell ref="J52:J53"/>
    <mergeCell ref="B4:K4"/>
    <mergeCell ref="B25:B26"/>
    <mergeCell ref="C25:C26"/>
    <mergeCell ref="J25:J26"/>
    <mergeCell ref="B5:B7"/>
    <mergeCell ref="C5:C7"/>
    <mergeCell ref="H6:I6"/>
    <mergeCell ref="H5:K5"/>
    <mergeCell ref="J6:K6"/>
    <mergeCell ref="H25:I25"/>
  </mergeCells>
  <pageMargins left="0.7" right="0.7" top="0.75" bottom="0.75" header="0.3" footer="0.3"/>
  <pageSetup scale="3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B3:U40"/>
  <sheetViews>
    <sheetView showGridLines="0" view="pageBreakPreview" topLeftCell="K1" zoomScaleNormal="100" zoomScaleSheetLayoutView="100" workbookViewId="0">
      <selection activeCell="O9" sqref="O9:O14"/>
    </sheetView>
  </sheetViews>
  <sheetFormatPr defaultColWidth="9.33203125" defaultRowHeight="13.8" x14ac:dyDescent="0.3"/>
  <cols>
    <col min="1" max="1" width="3" style="1" customWidth="1"/>
    <col min="2" max="2" width="5.6640625" style="1" bestFit="1" customWidth="1"/>
    <col min="3" max="3" width="30.5546875" style="1" customWidth="1"/>
    <col min="4" max="4" width="14" style="1" customWidth="1"/>
    <col min="5" max="7" width="13.44140625" style="1" customWidth="1"/>
    <col min="8" max="9" width="12.6640625" style="1" customWidth="1"/>
    <col min="10" max="14" width="9.33203125" style="1"/>
    <col min="15" max="17" width="11.44140625" style="1" bestFit="1" customWidth="1"/>
    <col min="18" max="16384" width="9.33203125" style="1"/>
  </cols>
  <sheetData>
    <row r="3" spans="2:18" x14ac:dyDescent="0.3">
      <c r="B3" s="6"/>
      <c r="I3" s="9" t="s">
        <v>101</v>
      </c>
    </row>
    <row r="4" spans="2:18" x14ac:dyDescent="0.3">
      <c r="B4" s="583" t="s">
        <v>16</v>
      </c>
      <c r="C4" s="583"/>
      <c r="D4" s="583"/>
      <c r="E4" s="583"/>
      <c r="F4" s="583"/>
      <c r="G4" s="583"/>
      <c r="H4" s="583"/>
      <c r="I4" s="583"/>
      <c r="J4" s="583"/>
      <c r="K4" s="583"/>
      <c r="L4" s="186"/>
      <c r="M4" s="186"/>
    </row>
    <row r="5" spans="2:18" ht="15" customHeight="1" x14ac:dyDescent="0.3">
      <c r="B5" s="583" t="s">
        <v>1</v>
      </c>
      <c r="C5" s="583" t="s">
        <v>2</v>
      </c>
      <c r="D5" s="174"/>
      <c r="E5" s="174"/>
      <c r="F5" s="174"/>
      <c r="G5" s="174"/>
      <c r="H5" s="583"/>
      <c r="I5" s="583"/>
      <c r="J5" s="583"/>
      <c r="K5" s="583"/>
      <c r="L5" s="186"/>
      <c r="M5" s="186"/>
    </row>
    <row r="6" spans="2:18" x14ac:dyDescent="0.3">
      <c r="B6" s="583"/>
      <c r="C6" s="583"/>
      <c r="D6" s="174" t="s">
        <v>22</v>
      </c>
      <c r="E6" s="174" t="s">
        <v>23</v>
      </c>
      <c r="F6" s="174" t="s">
        <v>24</v>
      </c>
      <c r="G6" s="174" t="s">
        <v>25</v>
      </c>
      <c r="H6" s="583" t="s">
        <v>26</v>
      </c>
      <c r="I6" s="583"/>
      <c r="J6" s="583" t="s">
        <v>27</v>
      </c>
      <c r="K6" s="583"/>
      <c r="L6" s="583" t="s">
        <v>28</v>
      </c>
      <c r="M6" s="583"/>
      <c r="N6" s="583" t="s">
        <v>29</v>
      </c>
      <c r="O6" s="583"/>
    </row>
    <row r="7" spans="2:18" ht="69.599999999999994" thickBot="1" x14ac:dyDescent="0.35">
      <c r="B7" s="590"/>
      <c r="C7" s="590"/>
      <c r="D7" s="7" t="s">
        <v>30</v>
      </c>
      <c r="E7" s="7" t="s">
        <v>31</v>
      </c>
      <c r="F7" s="7" t="s">
        <v>32</v>
      </c>
      <c r="G7" s="7" t="s">
        <v>265</v>
      </c>
      <c r="H7" s="7" t="s">
        <v>34</v>
      </c>
      <c r="I7" s="7" t="s">
        <v>35</v>
      </c>
      <c r="J7" s="7" t="s">
        <v>34</v>
      </c>
      <c r="K7" s="7" t="s">
        <v>35</v>
      </c>
      <c r="L7" s="7" t="s">
        <v>34</v>
      </c>
      <c r="M7" s="7" t="s">
        <v>35</v>
      </c>
      <c r="N7" s="7" t="s">
        <v>37</v>
      </c>
      <c r="O7" s="7" t="s">
        <v>35</v>
      </c>
      <c r="P7" s="7"/>
      <c r="Q7" s="7"/>
    </row>
    <row r="8" spans="2:18" x14ac:dyDescent="0.3">
      <c r="I8" s="6"/>
    </row>
    <row r="9" spans="2:18" x14ac:dyDescent="0.3">
      <c r="B9" s="19">
        <v>1</v>
      </c>
      <c r="C9" s="1" t="s">
        <v>372</v>
      </c>
      <c r="D9" s="1">
        <v>15.56</v>
      </c>
      <c r="E9" s="1">
        <v>15.06</v>
      </c>
      <c r="F9" s="1">
        <v>17.38</v>
      </c>
      <c r="G9" s="203">
        <f>[21]F7!H9</f>
        <v>20.864734737500008</v>
      </c>
      <c r="H9" s="203">
        <v>20.99</v>
      </c>
      <c r="I9" s="10">
        <f>H38/12</f>
        <v>23.811100795186164</v>
      </c>
      <c r="J9" s="1">
        <v>22.76</v>
      </c>
      <c r="K9" s="10">
        <v>22.25</v>
      </c>
      <c r="L9" s="172">
        <f>M38/12</f>
        <v>24.196898298809376</v>
      </c>
      <c r="M9" s="172">
        <f>M38/12</f>
        <v>24.196898298809376</v>
      </c>
      <c r="N9" s="1">
        <v>23.67</v>
      </c>
      <c r="O9" s="203">
        <f>P38/12</f>
        <v>24.017097292723864</v>
      </c>
      <c r="P9" s="203"/>
      <c r="Q9" s="203"/>
    </row>
    <row r="10" spans="2:18" x14ac:dyDescent="0.3">
      <c r="B10" s="19">
        <v>2</v>
      </c>
      <c r="C10" s="1" t="s">
        <v>373</v>
      </c>
      <c r="D10" s="1">
        <v>28.01</v>
      </c>
      <c r="E10" s="1">
        <v>27.11</v>
      </c>
      <c r="F10" s="1">
        <v>12.14</v>
      </c>
      <c r="G10" s="203">
        <f>[21]F7!H10</f>
        <v>16.656894279600007</v>
      </c>
      <c r="H10" s="10">
        <v>13.53</v>
      </c>
      <c r="I10" s="10">
        <f>40%*H33</f>
        <v>18.149160032800008</v>
      </c>
      <c r="J10" s="1">
        <v>14.45</v>
      </c>
      <c r="K10" s="10">
        <v>17.27</v>
      </c>
      <c r="L10" s="203">
        <f>40%*M33</f>
        <v>21.629790976799995</v>
      </c>
      <c r="M10" s="203">
        <v>21.63</v>
      </c>
      <c r="N10" s="1">
        <v>17.75</v>
      </c>
      <c r="O10" s="203">
        <f>40%*P33</f>
        <v>24.977104725599986</v>
      </c>
      <c r="P10" s="203"/>
      <c r="Q10" s="203"/>
    </row>
    <row r="11" spans="2:18" x14ac:dyDescent="0.3">
      <c r="B11" s="19">
        <v>3</v>
      </c>
      <c r="C11" s="1" t="s">
        <v>374</v>
      </c>
      <c r="D11" s="1">
        <v>58.33</v>
      </c>
      <c r="E11" s="1">
        <v>61.63</v>
      </c>
      <c r="F11" s="1">
        <v>76.12</v>
      </c>
      <c r="G11" s="203">
        <f>[21]F7!H11</f>
        <v>67.799166666666665</v>
      </c>
      <c r="H11" s="10">
        <v>82.79</v>
      </c>
      <c r="I11" s="142">
        <f>'F1'!I29/12</f>
        <v>80.290000000000006</v>
      </c>
      <c r="J11" s="8">
        <v>85.55</v>
      </c>
      <c r="K11" s="1">
        <f>'F1'!K29/12</f>
        <v>68.069999989250007</v>
      </c>
      <c r="L11" s="203">
        <f>'F1'!L27/12</f>
        <v>83.534999999999997</v>
      </c>
      <c r="M11" s="203">
        <f>'F1'!M29/12</f>
        <v>77.270000005666716</v>
      </c>
      <c r="N11" s="1">
        <v>84.94</v>
      </c>
      <c r="O11" s="203">
        <f>'F1'!O29/12</f>
        <v>80.63653416066667</v>
      </c>
      <c r="P11" s="203"/>
      <c r="Q11" s="203"/>
    </row>
    <row r="12" spans="2:18" x14ac:dyDescent="0.3">
      <c r="B12" s="19">
        <v>4</v>
      </c>
      <c r="C12" s="1" t="s">
        <v>375</v>
      </c>
      <c r="D12" s="10">
        <f t="shared" ref="D12:O12" si="0">SUM(D9:D11)</f>
        <v>101.9</v>
      </c>
      <c r="E12" s="10">
        <f t="shared" si="0"/>
        <v>103.80000000000001</v>
      </c>
      <c r="F12" s="10">
        <f t="shared" si="0"/>
        <v>105.64</v>
      </c>
      <c r="G12" s="10">
        <f t="shared" si="0"/>
        <v>105.32079568376668</v>
      </c>
      <c r="H12" s="10">
        <f t="shared" si="0"/>
        <v>117.31</v>
      </c>
      <c r="I12" s="142">
        <f t="shared" si="0"/>
        <v>122.25026082798618</v>
      </c>
      <c r="J12" s="1">
        <v>122.76</v>
      </c>
      <c r="K12" s="142">
        <f t="shared" si="0"/>
        <v>107.58999998925</v>
      </c>
      <c r="L12" s="142">
        <f t="shared" si="0"/>
        <v>129.36168927560936</v>
      </c>
      <c r="M12" s="142">
        <f t="shared" si="0"/>
        <v>123.0968983044761</v>
      </c>
      <c r="N12" s="142">
        <f t="shared" si="0"/>
        <v>126.36</v>
      </c>
      <c r="O12" s="142">
        <f t="shared" si="0"/>
        <v>129.6307361789905</v>
      </c>
      <c r="P12" s="142"/>
      <c r="Q12" s="142"/>
      <c r="R12" s="1">
        <f>7.4+3.5</f>
        <v>10.9</v>
      </c>
    </row>
    <row r="13" spans="2:18" x14ac:dyDescent="0.3">
      <c r="B13" s="19">
        <v>5</v>
      </c>
      <c r="C13" s="1" t="s">
        <v>376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42"/>
      <c r="O13" s="203"/>
      <c r="P13" s="203"/>
      <c r="Q13" s="203"/>
    </row>
    <row r="14" spans="2:18" x14ac:dyDescent="0.3">
      <c r="B14" s="19">
        <v>6</v>
      </c>
      <c r="C14" s="1" t="s">
        <v>377</v>
      </c>
      <c r="D14" s="10">
        <f t="shared" ref="D14:O14" si="1">D12-D13</f>
        <v>101.9</v>
      </c>
      <c r="E14" s="10">
        <f t="shared" si="1"/>
        <v>103.80000000000001</v>
      </c>
      <c r="F14" s="10">
        <f t="shared" si="1"/>
        <v>105.64</v>
      </c>
      <c r="G14" s="10">
        <f t="shared" si="1"/>
        <v>105.32079568376668</v>
      </c>
      <c r="H14" s="10">
        <f t="shared" si="1"/>
        <v>117.31</v>
      </c>
      <c r="I14" s="142">
        <f t="shared" si="1"/>
        <v>122.25026082798618</v>
      </c>
      <c r="J14" s="10">
        <f t="shared" si="1"/>
        <v>122.76</v>
      </c>
      <c r="K14" s="142">
        <f t="shared" si="1"/>
        <v>107.58999998925</v>
      </c>
      <c r="L14" s="142">
        <f t="shared" si="1"/>
        <v>129.36168927560936</v>
      </c>
      <c r="M14" s="142">
        <f t="shared" si="1"/>
        <v>123.0968983044761</v>
      </c>
      <c r="N14" s="142">
        <f t="shared" si="1"/>
        <v>126.36</v>
      </c>
      <c r="O14" s="142">
        <f t="shared" si="1"/>
        <v>129.6307361789905</v>
      </c>
      <c r="P14" s="142"/>
      <c r="Q14" s="142"/>
    </row>
    <row r="15" spans="2:18" ht="14.4" thickBot="1" x14ac:dyDescent="0.35">
      <c r="B15" s="19">
        <v>7</v>
      </c>
      <c r="C15" s="1" t="s">
        <v>378</v>
      </c>
      <c r="D15" s="204">
        <v>0.13500000000000001</v>
      </c>
      <c r="E15" s="204">
        <v>0.13500000000000001</v>
      </c>
      <c r="F15" s="204">
        <v>0.128</v>
      </c>
      <c r="G15" s="204">
        <f>[21]F7!H15</f>
        <v>0.126</v>
      </c>
      <c r="H15" s="204">
        <v>0.13200000000000001</v>
      </c>
      <c r="I15" s="12">
        <f>8.7%+3.5%</f>
        <v>0.122</v>
      </c>
      <c r="J15" s="204">
        <v>0.13200000000000001</v>
      </c>
      <c r="K15" s="204">
        <v>0.1255</v>
      </c>
      <c r="L15" s="204">
        <v>0.109</v>
      </c>
      <c r="M15" s="204">
        <v>0.109</v>
      </c>
      <c r="N15" s="204">
        <v>0.109</v>
      </c>
      <c r="O15" s="12">
        <v>0.109</v>
      </c>
      <c r="P15" s="145"/>
      <c r="Q15" s="145"/>
    </row>
    <row r="16" spans="2:18" ht="14.4" thickBot="1" x14ac:dyDescent="0.35">
      <c r="B16" s="14">
        <v>8</v>
      </c>
      <c r="C16" s="18" t="s">
        <v>379</v>
      </c>
      <c r="D16" s="16">
        <f>D14*D15</f>
        <v>13.756500000000001</v>
      </c>
      <c r="E16" s="16">
        <f>E14*E15</f>
        <v>14.013000000000002</v>
      </c>
      <c r="F16" s="16">
        <f>F14*F15</f>
        <v>13.52192</v>
      </c>
      <c r="G16" s="16">
        <f>G14*G15</f>
        <v>13.270420256154601</v>
      </c>
      <c r="H16" s="16">
        <v>15.49</v>
      </c>
      <c r="I16" s="70">
        <f t="shared" ref="I16:Q16" si="2">I14*I15</f>
        <v>14.914531821014315</v>
      </c>
      <c r="J16" s="70">
        <f t="shared" si="2"/>
        <v>16.204320000000003</v>
      </c>
      <c r="K16" s="70">
        <f t="shared" si="2"/>
        <v>13.502544998650876</v>
      </c>
      <c r="L16" s="70">
        <f t="shared" si="2"/>
        <v>14.100424131041422</v>
      </c>
      <c r="M16" s="70">
        <f t="shared" si="2"/>
        <v>13.417561915187894</v>
      </c>
      <c r="N16" s="70">
        <f t="shared" si="2"/>
        <v>13.773239999999999</v>
      </c>
      <c r="O16" s="70">
        <f t="shared" si="2"/>
        <v>14.129750243509966</v>
      </c>
      <c r="P16" s="70">
        <f t="shared" si="2"/>
        <v>0</v>
      </c>
      <c r="Q16" s="70">
        <f t="shared" si="2"/>
        <v>0</v>
      </c>
    </row>
    <row r="17" spans="2:21" x14ac:dyDescent="0.3">
      <c r="H17" s="1">
        <v>15.49</v>
      </c>
      <c r="M17" s="1">
        <f>40%*M33</f>
        <v>21.629790976799995</v>
      </c>
    </row>
    <row r="18" spans="2:21" x14ac:dyDescent="0.3">
      <c r="M18" s="203"/>
    </row>
    <row r="19" spans="2:21" ht="15" customHeight="1" x14ac:dyDescent="0.3">
      <c r="B19" s="582" t="s">
        <v>1</v>
      </c>
      <c r="C19" s="582" t="s">
        <v>2</v>
      </c>
      <c r="D19" s="205"/>
      <c r="E19" s="205"/>
      <c r="F19" s="205"/>
      <c r="G19" s="205"/>
      <c r="H19" s="197" t="s">
        <v>380</v>
      </c>
      <c r="I19" s="205"/>
      <c r="K19" s="582" t="s">
        <v>1</v>
      </c>
      <c r="L19" s="582" t="s">
        <v>2</v>
      </c>
      <c r="M19" s="205"/>
      <c r="N19" s="205"/>
      <c r="O19" s="205"/>
      <c r="P19" s="205"/>
      <c r="Q19" s="197" t="s">
        <v>380</v>
      </c>
      <c r="R19" s="205"/>
    </row>
    <row r="20" spans="2:21" ht="14.4" thickBot="1" x14ac:dyDescent="0.35">
      <c r="B20" s="590"/>
      <c r="C20" s="590"/>
      <c r="D20" s="13"/>
      <c r="E20" s="13"/>
      <c r="F20" s="13"/>
      <c r="G20" s="13"/>
      <c r="H20" s="13" t="s">
        <v>26</v>
      </c>
      <c r="I20" s="13"/>
      <c r="K20" s="590"/>
      <c r="L20" s="590"/>
      <c r="M20" s="13"/>
      <c r="N20" s="13"/>
      <c r="O20" s="13"/>
      <c r="P20" s="13"/>
      <c r="Q20" s="13" t="s">
        <v>381</v>
      </c>
      <c r="R20" s="13"/>
    </row>
    <row r="21" spans="2:21" ht="14.4" thickBot="1" x14ac:dyDescent="0.35"/>
    <row r="22" spans="2:21" x14ac:dyDescent="0.3">
      <c r="B22" s="53">
        <v>1</v>
      </c>
      <c r="C22" s="54" t="s">
        <v>382</v>
      </c>
      <c r="D22" s="54"/>
      <c r="E22" s="54"/>
      <c r="F22" s="54"/>
      <c r="G22" s="54"/>
      <c r="H22" s="57">
        <v>1</v>
      </c>
      <c r="I22" s="57"/>
      <c r="K22" s="53">
        <v>1</v>
      </c>
      <c r="L22" s="54" t="s">
        <v>382</v>
      </c>
      <c r="M22" s="54"/>
      <c r="N22" s="54"/>
      <c r="O22" s="54"/>
      <c r="P22" s="54"/>
      <c r="Q22" s="57" t="s">
        <v>383</v>
      </c>
      <c r="R22" s="57"/>
    </row>
    <row r="23" spans="2:21" ht="55.2" x14ac:dyDescent="0.3">
      <c r="B23" s="39">
        <v>2</v>
      </c>
      <c r="C23" s="55" t="s">
        <v>384</v>
      </c>
      <c r="D23" s="55"/>
      <c r="E23" s="55"/>
      <c r="F23" s="55"/>
      <c r="G23" s="55"/>
      <c r="H23" s="243">
        <v>0.4</v>
      </c>
      <c r="I23" s="243"/>
      <c r="K23" s="39">
        <v>2</v>
      </c>
      <c r="L23" s="55" t="s">
        <v>385</v>
      </c>
      <c r="M23" s="55"/>
      <c r="N23" s="55"/>
      <c r="O23" s="55"/>
      <c r="P23" s="55"/>
      <c r="Q23" s="243">
        <v>0.2</v>
      </c>
      <c r="R23" s="243"/>
    </row>
    <row r="24" spans="2:21" x14ac:dyDescent="0.3">
      <c r="B24" s="39">
        <v>3</v>
      </c>
      <c r="C24" s="37" t="s">
        <v>386</v>
      </c>
      <c r="D24" s="37"/>
      <c r="E24" s="37"/>
      <c r="F24" s="37"/>
      <c r="G24" s="37"/>
      <c r="H24" s="56">
        <v>1</v>
      </c>
      <c r="I24" s="56"/>
      <c r="K24" s="39">
        <v>3</v>
      </c>
      <c r="L24" s="37" t="s">
        <v>386</v>
      </c>
      <c r="M24" s="37"/>
      <c r="N24" s="37"/>
      <c r="O24" s="37"/>
      <c r="P24" s="37"/>
      <c r="Q24" s="56">
        <v>1</v>
      </c>
      <c r="R24" s="56"/>
    </row>
    <row r="25" spans="2:21" ht="15.75" customHeight="1" thickBot="1" x14ac:dyDescent="0.35">
      <c r="B25" s="40">
        <v>4</v>
      </c>
      <c r="C25" s="41" t="s">
        <v>387</v>
      </c>
      <c r="D25" s="41"/>
      <c r="E25" s="41"/>
      <c r="F25" s="41"/>
      <c r="G25" s="41"/>
      <c r="H25" s="41" t="s">
        <v>388</v>
      </c>
      <c r="I25" s="41"/>
      <c r="K25" s="40">
        <v>4</v>
      </c>
      <c r="L25" s="41" t="s">
        <v>387</v>
      </c>
      <c r="M25" s="41"/>
      <c r="N25" s="41"/>
      <c r="O25" s="41"/>
      <c r="P25" s="41"/>
      <c r="Q25" s="41" t="s">
        <v>389</v>
      </c>
      <c r="R25" s="41"/>
    </row>
    <row r="26" spans="2:21" s="26" customFormat="1" ht="15.75" customHeight="1" x14ac:dyDescent="0.3">
      <c r="B26" s="48"/>
      <c r="H26" s="48"/>
      <c r="I26" s="48"/>
    </row>
    <row r="27" spans="2:21" x14ac:dyDescent="0.3">
      <c r="H27" s="9" t="s">
        <v>101</v>
      </c>
    </row>
    <row r="28" spans="2:21" x14ac:dyDescent="0.3">
      <c r="B28" s="583" t="s">
        <v>390</v>
      </c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</row>
    <row r="29" spans="2:21" ht="14.4" thickBot="1" x14ac:dyDescent="0.35">
      <c r="B29" s="13" t="s">
        <v>1</v>
      </c>
      <c r="C29" s="13" t="s">
        <v>2</v>
      </c>
      <c r="D29" s="13"/>
      <c r="E29" s="13"/>
      <c r="F29" s="13"/>
      <c r="G29" s="13"/>
      <c r="H29" s="13" t="s">
        <v>391</v>
      </c>
      <c r="I29" s="13"/>
      <c r="J29" s="13" t="s">
        <v>27</v>
      </c>
      <c r="K29" s="13"/>
      <c r="L29" s="13"/>
      <c r="M29" s="13" t="s">
        <v>28</v>
      </c>
      <c r="N29" s="13"/>
      <c r="O29" s="13"/>
      <c r="P29" s="13" t="s">
        <v>29</v>
      </c>
      <c r="Q29" s="13"/>
      <c r="R29" s="13" t="s">
        <v>29</v>
      </c>
    </row>
    <row r="31" spans="2:21" x14ac:dyDescent="0.3">
      <c r="B31" s="19">
        <v>1</v>
      </c>
      <c r="C31" s="1" t="s">
        <v>392</v>
      </c>
      <c r="H31" s="10">
        <f>'F1'!I9</f>
        <v>208.73564977099997</v>
      </c>
      <c r="I31" s="10"/>
      <c r="J31" s="203">
        <f>'F1'!K9</f>
        <v>195.24410515399998</v>
      </c>
      <c r="M31" s="1">
        <f>'F1'!M9</f>
        <v>189.43001799899994</v>
      </c>
      <c r="P31" s="1">
        <f>'F1'!O9</f>
        <v>188.31604671500003</v>
      </c>
    </row>
    <row r="32" spans="2:21" x14ac:dyDescent="0.3">
      <c r="B32" s="19">
        <v>2</v>
      </c>
      <c r="C32" s="2" t="s">
        <v>393</v>
      </c>
      <c r="D32" s="2"/>
      <c r="E32" s="2"/>
      <c r="F32" s="2"/>
      <c r="G32" s="2"/>
      <c r="H32" s="10">
        <f>'F1'!I10</f>
        <v>48.177879780234015</v>
      </c>
      <c r="I32" s="10"/>
      <c r="J32" s="203">
        <f>'F1'!K10</f>
        <v>50.42</v>
      </c>
      <c r="M32" s="1">
        <f>'F1'!M10</f>
        <v>57.667913359712607</v>
      </c>
      <c r="P32" s="1">
        <f>'F1'!O10</f>
        <v>49.424701084686362</v>
      </c>
    </row>
    <row r="33" spans="2:18" x14ac:dyDescent="0.3">
      <c r="B33" s="19">
        <v>3</v>
      </c>
      <c r="C33" s="2" t="s">
        <v>394</v>
      </c>
      <c r="D33" s="2"/>
      <c r="E33" s="2"/>
      <c r="F33" s="2"/>
      <c r="G33" s="2"/>
      <c r="H33" s="10">
        <f>'F1'!I11</f>
        <v>45.372900082000015</v>
      </c>
      <c r="I33" s="10"/>
      <c r="J33" s="203">
        <f>'F1'!K11</f>
        <v>51.141576368999999</v>
      </c>
      <c r="M33" s="1">
        <f>'F1'!M11</f>
        <v>54.074477441999981</v>
      </c>
      <c r="P33" s="1">
        <f>'F1'!O11</f>
        <v>62.442761813999965</v>
      </c>
    </row>
    <row r="34" spans="2:18" x14ac:dyDescent="0.3">
      <c r="B34" s="19"/>
      <c r="C34" s="2" t="s">
        <v>395</v>
      </c>
      <c r="D34" s="2"/>
      <c r="E34" s="2"/>
      <c r="F34" s="2"/>
      <c r="G34" s="2"/>
      <c r="H34" s="10"/>
      <c r="I34" s="10"/>
    </row>
    <row r="35" spans="2:18" x14ac:dyDescent="0.3">
      <c r="B35" s="19">
        <v>4</v>
      </c>
      <c r="C35" s="1" t="s">
        <v>396</v>
      </c>
      <c r="H35" s="10">
        <f>SUM(H31:H34)</f>
        <v>302.28642963323398</v>
      </c>
      <c r="I35" s="10"/>
      <c r="J35" s="10">
        <f>SUM(J31:J34)</f>
        <v>296.80568152299998</v>
      </c>
      <c r="M35" s="10">
        <f>SUM(M31:M34)</f>
        <v>301.1724088007125</v>
      </c>
      <c r="P35" s="10">
        <f>SUM(P31:P34)</f>
        <v>300.1835096136864</v>
      </c>
    </row>
    <row r="36" spans="2:18" x14ac:dyDescent="0.3">
      <c r="B36" s="19">
        <v>5</v>
      </c>
      <c r="C36" s="1" t="s">
        <v>397</v>
      </c>
      <c r="H36" s="10">
        <f>'F1'!I14</f>
        <v>16.553220090999996</v>
      </c>
      <c r="I36" s="10"/>
      <c r="J36" s="203">
        <f>'F1'!K14</f>
        <v>14.845179725999996</v>
      </c>
      <c r="M36" s="203">
        <f>'F1'!M14</f>
        <v>10.809629214999999</v>
      </c>
      <c r="P36" s="203">
        <f>'F1'!O14</f>
        <v>11.978342101000001</v>
      </c>
    </row>
    <row r="37" spans="2:18" ht="14.4" thickBot="1" x14ac:dyDescent="0.35">
      <c r="B37" s="19">
        <v>6</v>
      </c>
      <c r="C37" s="1" t="s">
        <v>398</v>
      </c>
      <c r="H37" s="10"/>
      <c r="I37" s="10"/>
    </row>
    <row r="38" spans="2:18" ht="14.4" thickBot="1" x14ac:dyDescent="0.35">
      <c r="B38" s="14">
        <v>7</v>
      </c>
      <c r="C38" s="18" t="s">
        <v>399</v>
      </c>
      <c r="D38" s="18"/>
      <c r="E38" s="18"/>
      <c r="F38" s="18"/>
      <c r="G38" s="18"/>
      <c r="H38" s="16">
        <f>H35-H36+H37</f>
        <v>285.73320954223396</v>
      </c>
      <c r="I38" s="16"/>
      <c r="J38" s="16">
        <f>J35-J36+J37</f>
        <v>281.96050179700001</v>
      </c>
      <c r="K38" s="16"/>
      <c r="L38" s="16"/>
      <c r="M38" s="16">
        <f>M35-M36+M37</f>
        <v>290.36277958571253</v>
      </c>
      <c r="N38" s="16"/>
      <c r="O38" s="16"/>
      <c r="P38" s="16">
        <f>P35-P36+P37</f>
        <v>288.20516751268639</v>
      </c>
      <c r="Q38" s="16"/>
      <c r="R38" s="16"/>
    </row>
    <row r="39" spans="2:18" x14ac:dyDescent="0.3">
      <c r="J39" s="172"/>
    </row>
    <row r="40" spans="2:18" x14ac:dyDescent="0.3">
      <c r="J40" s="1">
        <f>40%*J33</f>
        <v>20.4566305476</v>
      </c>
    </row>
  </sheetData>
  <mergeCells count="15">
    <mergeCell ref="L28:U28"/>
    <mergeCell ref="B4:K4"/>
    <mergeCell ref="J5:K5"/>
    <mergeCell ref="J6:K6"/>
    <mergeCell ref="B28:K28"/>
    <mergeCell ref="H5:I5"/>
    <mergeCell ref="B5:B7"/>
    <mergeCell ref="C5:C7"/>
    <mergeCell ref="H6:I6"/>
    <mergeCell ref="C19:C20"/>
    <mergeCell ref="B19:B20"/>
    <mergeCell ref="L6:M6"/>
    <mergeCell ref="K19:K20"/>
    <mergeCell ref="L19:L20"/>
    <mergeCell ref="N6:O6"/>
  </mergeCells>
  <pageMargins left="0.7" right="0.7" top="0.75" bottom="0.75" header="0.3" footer="0.3"/>
  <pageSetup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B1:F39"/>
  <sheetViews>
    <sheetView showGridLines="0" view="pageBreakPreview" topLeftCell="E1" zoomScaleNormal="100" zoomScaleSheetLayoutView="100" workbookViewId="0">
      <selection activeCell="F10" sqref="F10"/>
    </sheetView>
  </sheetViews>
  <sheetFormatPr defaultColWidth="9.33203125" defaultRowHeight="13.8" x14ac:dyDescent="0.3"/>
  <cols>
    <col min="1" max="1" width="3.5546875" style="1" customWidth="1"/>
    <col min="2" max="2" width="5.6640625" style="1" bestFit="1" customWidth="1"/>
    <col min="3" max="3" width="48.5546875" style="1" bestFit="1" customWidth="1"/>
    <col min="4" max="4" width="16.6640625" style="1" customWidth="1"/>
    <col min="5" max="6" width="13.109375" style="1" customWidth="1"/>
    <col min="7" max="16384" width="9.33203125" style="1"/>
  </cols>
  <sheetData>
    <row r="1" spans="2:6" x14ac:dyDescent="0.3">
      <c r="B1" s="19"/>
      <c r="D1" s="9" t="s">
        <v>101</v>
      </c>
    </row>
    <row r="2" spans="2:6" x14ac:dyDescent="0.3">
      <c r="B2" s="583" t="s">
        <v>400</v>
      </c>
      <c r="C2" s="583"/>
      <c r="D2" s="583"/>
      <c r="E2" s="583"/>
      <c r="F2" s="583"/>
    </row>
    <row r="3" spans="2:6" x14ac:dyDescent="0.3">
      <c r="B3" s="583"/>
      <c r="C3" s="583"/>
      <c r="D3" s="174" t="s">
        <v>27</v>
      </c>
      <c r="E3" s="174" t="s">
        <v>28</v>
      </c>
      <c r="F3" s="174" t="s">
        <v>29</v>
      </c>
    </row>
    <row r="4" spans="2:6" ht="42" thickBot="1" x14ac:dyDescent="0.35">
      <c r="B4" s="590"/>
      <c r="C4" s="590"/>
      <c r="D4" s="7" t="s">
        <v>35</v>
      </c>
      <c r="E4" s="7" t="s">
        <v>35</v>
      </c>
      <c r="F4" s="7" t="s">
        <v>35</v>
      </c>
    </row>
    <row r="5" spans="2:6" s="26" customFormat="1" x14ac:dyDescent="0.3">
      <c r="B5" s="58"/>
      <c r="C5" s="58"/>
      <c r="D5" s="59"/>
    </row>
    <row r="6" spans="2:6" x14ac:dyDescent="0.3">
      <c r="B6" s="19">
        <v>1</v>
      </c>
      <c r="C6" s="1" t="s">
        <v>401</v>
      </c>
      <c r="D6" s="12">
        <v>0.99709999999999999</v>
      </c>
      <c r="E6" s="204">
        <v>0.99780000000000002</v>
      </c>
      <c r="F6" s="319">
        <v>0.99780000000000002</v>
      </c>
    </row>
    <row r="7" spans="2:6" x14ac:dyDescent="0.3">
      <c r="B7" s="19">
        <v>2</v>
      </c>
      <c r="C7" s="1" t="s">
        <v>402</v>
      </c>
      <c r="D7" s="12">
        <v>0.99</v>
      </c>
      <c r="E7" s="204">
        <v>0.99</v>
      </c>
      <c r="F7" s="203">
        <v>99</v>
      </c>
    </row>
    <row r="8" spans="2:6" x14ac:dyDescent="0.3">
      <c r="B8" s="19">
        <v>3</v>
      </c>
      <c r="C8" s="1" t="s">
        <v>403</v>
      </c>
      <c r="D8" s="12">
        <v>0.99750000000000005</v>
      </c>
      <c r="E8" s="204">
        <v>0.99750000000000005</v>
      </c>
      <c r="F8" s="203">
        <v>99.75</v>
      </c>
    </row>
    <row r="9" spans="2:6" ht="14.4" thickBot="1" x14ac:dyDescent="0.35">
      <c r="B9" s="19">
        <v>4</v>
      </c>
      <c r="C9" s="1" t="s">
        <v>404</v>
      </c>
      <c r="D9" s="202">
        <f ca="1">(($D$8-$D$7)/$D$7)*'F1'!K27</f>
        <v>7.2910385522234247</v>
      </c>
      <c r="E9" s="202">
        <f>(($D$8-$D$7)/$D$7)*'F1'!L27</f>
        <v>7.5940909090909718</v>
      </c>
      <c r="F9" s="202">
        <f ca="1">((F8-F7)/F7)*'F1'!O27</f>
        <v>8.0055499069503373</v>
      </c>
    </row>
    <row r="10" spans="2:6" ht="14.4" thickBot="1" x14ac:dyDescent="0.35">
      <c r="B10" s="14">
        <v>5</v>
      </c>
      <c r="C10" s="18" t="s">
        <v>405</v>
      </c>
      <c r="D10" s="201">
        <f ca="1">D9/2</f>
        <v>3.6455192761117123</v>
      </c>
      <c r="E10" s="201">
        <f>E9/2</f>
        <v>3.7970454545454859</v>
      </c>
      <c r="F10" s="201">
        <f ca="1">F9/2</f>
        <v>4.0027749534751687</v>
      </c>
    </row>
    <row r="11" spans="2:6" x14ac:dyDescent="0.3">
      <c r="F11" s="318"/>
    </row>
    <row r="13" spans="2:6" x14ac:dyDescent="0.3">
      <c r="C13" s="190" t="s">
        <v>406</v>
      </c>
    </row>
    <row r="15" spans="2:6" ht="27.6" x14ac:dyDescent="0.3">
      <c r="B15" s="175" t="s">
        <v>1</v>
      </c>
      <c r="C15" s="175" t="s">
        <v>2</v>
      </c>
      <c r="D15" s="175" t="s">
        <v>28</v>
      </c>
    </row>
    <row r="16" spans="2:6" x14ac:dyDescent="0.3">
      <c r="B16" s="147">
        <v>1</v>
      </c>
      <c r="C16" s="148" t="s">
        <v>407</v>
      </c>
      <c r="D16" s="147">
        <v>1049.3599999999999</v>
      </c>
    </row>
    <row r="17" spans="2:5" x14ac:dyDescent="0.3">
      <c r="B17" s="147">
        <v>2</v>
      </c>
      <c r="C17" s="148" t="s">
        <v>408</v>
      </c>
      <c r="D17" s="200">
        <f ca="1">'F1'!L54</f>
        <v>16.664509707420173</v>
      </c>
    </row>
    <row r="18" spans="2:5" x14ac:dyDescent="0.3">
      <c r="B18" s="147">
        <v>3</v>
      </c>
      <c r="C18" s="148" t="s">
        <v>409</v>
      </c>
      <c r="D18" s="200">
        <f ca="1">D16-D17</f>
        <v>1032.6954902925797</v>
      </c>
    </row>
    <row r="19" spans="2:5" x14ac:dyDescent="0.3">
      <c r="B19" s="147">
        <v>4</v>
      </c>
      <c r="C19" s="148" t="s">
        <v>410</v>
      </c>
      <c r="D19" s="200">
        <v>4736</v>
      </c>
      <c r="E19" s="1" t="s">
        <v>411</v>
      </c>
    </row>
    <row r="20" spans="2:5" x14ac:dyDescent="0.3">
      <c r="B20" s="147">
        <v>5</v>
      </c>
      <c r="C20" s="148" t="s">
        <v>412</v>
      </c>
      <c r="D20" s="299">
        <f>70%*D19*365*24/10^3</f>
        <v>29041.151999999998</v>
      </c>
    </row>
    <row r="21" spans="2:5" x14ac:dyDescent="0.3">
      <c r="B21" s="235">
        <v>6</v>
      </c>
      <c r="C21" s="236" t="s">
        <v>413</v>
      </c>
      <c r="D21" s="237">
        <f ca="1">D18/D20*1000</f>
        <v>35.55972883901368</v>
      </c>
    </row>
    <row r="23" spans="2:5" x14ac:dyDescent="0.3">
      <c r="C23" s="190" t="s">
        <v>414</v>
      </c>
    </row>
    <row r="24" spans="2:5" ht="27.6" x14ac:dyDescent="0.3">
      <c r="B24" s="175" t="s">
        <v>1</v>
      </c>
      <c r="C24" s="175" t="s">
        <v>2</v>
      </c>
      <c r="D24" s="175" t="s">
        <v>29</v>
      </c>
    </row>
    <row r="25" spans="2:5" x14ac:dyDescent="0.3">
      <c r="B25" s="148">
        <v>1</v>
      </c>
      <c r="C25" s="321" t="s">
        <v>415</v>
      </c>
      <c r="D25" s="326">
        <f>'F1'!M27</f>
        <v>955.16103530599037</v>
      </c>
    </row>
    <row r="26" spans="2:5" x14ac:dyDescent="0.3">
      <c r="B26" s="148">
        <v>2</v>
      </c>
      <c r="C26" s="321" t="s">
        <v>416</v>
      </c>
      <c r="D26" s="200">
        <f ca="1">'F1'!J64</f>
        <v>46.025349657433487</v>
      </c>
    </row>
    <row r="27" spans="2:5" x14ac:dyDescent="0.3">
      <c r="B27" s="148">
        <v>3</v>
      </c>
      <c r="C27" s="321" t="s">
        <v>417</v>
      </c>
      <c r="D27" s="200">
        <f ca="1">D25-D26</f>
        <v>909.13568564855689</v>
      </c>
    </row>
    <row r="28" spans="2:5" x14ac:dyDescent="0.3">
      <c r="B28" s="148">
        <v>4</v>
      </c>
      <c r="C28" s="321" t="s">
        <v>410</v>
      </c>
      <c r="D28" s="147">
        <v>4900</v>
      </c>
    </row>
    <row r="29" spans="2:5" x14ac:dyDescent="0.3">
      <c r="B29" s="148">
        <v>5</v>
      </c>
      <c r="C29" s="321" t="s">
        <v>412</v>
      </c>
      <c r="D29" s="147">
        <v>30047</v>
      </c>
    </row>
    <row r="30" spans="2:5" x14ac:dyDescent="0.3">
      <c r="B30" s="148">
        <v>6</v>
      </c>
      <c r="C30" s="321" t="s">
        <v>413</v>
      </c>
      <c r="D30" s="200">
        <f ca="1">(D27/D29)*1000</f>
        <v>30.257120033565975</v>
      </c>
    </row>
    <row r="32" spans="2:5" x14ac:dyDescent="0.3">
      <c r="C32" s="190" t="s">
        <v>418</v>
      </c>
    </row>
    <row r="33" spans="2:4" ht="27.6" x14ac:dyDescent="0.3">
      <c r="B33" s="175" t="s">
        <v>1</v>
      </c>
      <c r="C33" s="175" t="s">
        <v>2</v>
      </c>
      <c r="D33" s="175" t="s">
        <v>419</v>
      </c>
    </row>
    <row r="34" spans="2:4" x14ac:dyDescent="0.3">
      <c r="B34" s="148">
        <v>1</v>
      </c>
      <c r="C34" s="321" t="s">
        <v>415</v>
      </c>
      <c r="D34" s="326">
        <f>'F1'!M36</f>
        <v>0</v>
      </c>
    </row>
    <row r="35" spans="2:4" x14ac:dyDescent="0.3">
      <c r="B35" s="148">
        <v>2</v>
      </c>
      <c r="C35" s="321" t="s">
        <v>416</v>
      </c>
      <c r="D35" s="200">
        <f>'F1'!J73</f>
        <v>0</v>
      </c>
    </row>
    <row r="36" spans="2:4" x14ac:dyDescent="0.3">
      <c r="B36" s="148">
        <v>3</v>
      </c>
      <c r="C36" s="321" t="s">
        <v>417</v>
      </c>
      <c r="D36" s="200">
        <f>D34-D35</f>
        <v>0</v>
      </c>
    </row>
    <row r="37" spans="2:4" x14ac:dyDescent="0.3">
      <c r="B37" s="148">
        <v>4</v>
      </c>
      <c r="C37" s="321" t="s">
        <v>410</v>
      </c>
      <c r="D37" s="147">
        <v>4900</v>
      </c>
    </row>
    <row r="38" spans="2:4" x14ac:dyDescent="0.3">
      <c r="B38" s="148">
        <v>5</v>
      </c>
      <c r="C38" s="321" t="s">
        <v>412</v>
      </c>
      <c r="D38" s="147">
        <v>30047</v>
      </c>
    </row>
    <row r="39" spans="2:4" x14ac:dyDescent="0.3">
      <c r="B39" s="148">
        <v>6</v>
      </c>
      <c r="C39" s="321" t="s">
        <v>413</v>
      </c>
      <c r="D39" s="200">
        <f>(D36/D38)*1000</f>
        <v>0</v>
      </c>
    </row>
  </sheetData>
  <mergeCells count="3">
    <mergeCell ref="B3:B4"/>
    <mergeCell ref="C3:C4"/>
    <mergeCell ref="B2:F2"/>
  </mergeCells>
  <pageMargins left="0.7" right="0.7" top="0.75" bottom="0.75" header="0.3" footer="0.3"/>
  <pageSetup scale="84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342801</vt:lpwstr>
  </property>
  <property fmtid="{D5CDD505-2E9C-101B-9397-08002B2CF9AE}" pid="4" name="OptimizationTime">
    <vt:lpwstr>20221118_1756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20</vt:i4>
      </vt:variant>
    </vt:vector>
  </HeadingPairs>
  <TitlesOfParts>
    <vt:vector size="49" baseType="lpstr">
      <vt:lpstr>Index</vt:lpstr>
      <vt:lpstr>F1</vt:lpstr>
      <vt:lpstr>F2</vt:lpstr>
      <vt:lpstr>F3</vt:lpstr>
      <vt:lpstr>F4</vt:lpstr>
      <vt:lpstr>F5</vt:lpstr>
      <vt:lpstr>F6</vt:lpstr>
      <vt:lpstr>F7</vt:lpstr>
      <vt:lpstr>F8</vt:lpstr>
      <vt:lpstr>Revenue Gap+ STOA</vt:lpstr>
      <vt:lpstr>Ref</vt:lpstr>
      <vt:lpstr>FORMATS</vt:lpstr>
      <vt:lpstr>S2</vt:lpstr>
      <vt:lpstr>S3</vt:lpstr>
      <vt:lpstr>F1 (2)</vt:lpstr>
      <vt:lpstr>F2 (2)</vt:lpstr>
      <vt:lpstr>F3 (2)</vt:lpstr>
      <vt:lpstr>F4 (2)</vt:lpstr>
      <vt:lpstr>F5A</vt:lpstr>
      <vt:lpstr>F5B</vt:lpstr>
      <vt:lpstr>F6 (2)</vt:lpstr>
      <vt:lpstr>F7 (2)</vt:lpstr>
      <vt:lpstr>F8(2)</vt:lpstr>
      <vt:lpstr>F9</vt:lpstr>
      <vt:lpstr>F10</vt:lpstr>
      <vt:lpstr>F11</vt:lpstr>
      <vt:lpstr>F12</vt:lpstr>
      <vt:lpstr>F13</vt:lpstr>
      <vt:lpstr>F14</vt:lpstr>
      <vt:lpstr>'F1'!Print_Area</vt:lpstr>
      <vt:lpstr>'F10'!Print_Area</vt:lpstr>
      <vt:lpstr>'F11'!Print_Area</vt:lpstr>
      <vt:lpstr>'F2'!Print_Area</vt:lpstr>
      <vt:lpstr>'F2 (2)'!Print_Area</vt:lpstr>
      <vt:lpstr>'F3 (2)'!Print_Area</vt:lpstr>
      <vt:lpstr>'F4'!Print_Area</vt:lpstr>
      <vt:lpstr>'F4 (2)'!Print_Area</vt:lpstr>
      <vt:lpstr>'F5'!Print_Area</vt:lpstr>
      <vt:lpstr>F5A!Print_Area</vt:lpstr>
      <vt:lpstr>F5B!Print_Area</vt:lpstr>
      <vt:lpstr>'F6'!Print_Area</vt:lpstr>
      <vt:lpstr>'F7'!Print_Area</vt:lpstr>
      <vt:lpstr>'F7 (2)'!Print_Area</vt:lpstr>
      <vt:lpstr>'F8'!Print_Area</vt:lpstr>
      <vt:lpstr>'F8(2)'!Print_Area</vt:lpstr>
      <vt:lpstr>'F9'!Print_Area</vt:lpstr>
      <vt:lpstr>Index!Print_Area</vt:lpstr>
      <vt:lpstr>'S2'!Print_Area</vt:lpstr>
      <vt:lpstr>'S3'!Print_Area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Atul Singh</dc:creator>
  <cp:keywords/>
  <dc:description/>
  <cp:lastModifiedBy>Zuhaib Syed</cp:lastModifiedBy>
  <cp:revision/>
  <dcterms:created xsi:type="dcterms:W3CDTF">2016-08-16T12:34:15Z</dcterms:created>
  <dcterms:modified xsi:type="dcterms:W3CDTF">2022-11-16T08:01:33Z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